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I:\okonomi\Innkjøp - Regler, maler etc\kontor utstyr\anbud 2021 renholdsutstyr og renholdsmaskiner\"/>
    </mc:Choice>
  </mc:AlternateContent>
  <xr:revisionPtr revIDLastSave="0" documentId="13_ncr:1_{95059DD1-E339-4AFA-AC42-2CB160D88940}" xr6:coauthVersionLast="47" xr6:coauthVersionMax="47" xr10:uidLastSave="{00000000-0000-0000-0000-000000000000}"/>
  <bookViews>
    <workbookView xWindow="-28920" yWindow="-15" windowWidth="29040" windowHeight="15840" tabRatio="972" xr2:uid="{00000000-000D-0000-FFFF-FFFF00000000}"/>
  </bookViews>
  <sheets>
    <sheet name="Hovedside" sheetId="3" r:id="rId1"/>
    <sheet name="Renholdsrekvisita" sheetId="4" r:id="rId2"/>
    <sheet name="Rengjøringsmaskiner" sheetId="5" r:id="rId3"/>
    <sheet name="Renholdsmidler" sheetId="27" r:id="rId4"/>
    <sheet name="Avfallshåndtering" sheetId="10" r:id="rId5"/>
    <sheet name="Matter og sklisikring" sheetId="12" r:id="rId6"/>
    <sheet name="tørk og hyggiene" sheetId="11" r:id="rId7"/>
    <sheet name="Forklaring" sheetId="18" r:id="rId8"/>
    <sheet name="Evaluering " sheetId="19" r:id="rId9"/>
  </sheets>
  <definedNames>
    <definedName name="_xlnm._FilterDatabase" localSheetId="5" hidden="1">'Matter og sklisikring'!$A$1:$P$8</definedName>
    <definedName name="_xlnm._FilterDatabase" localSheetId="3" hidden="1">Renholdsmidler!$A$1:$G$52</definedName>
    <definedName name="_xlnm._FilterDatabase" localSheetId="1" hidden="1">Renholdsrekvisita!$A$1:$H$40</definedName>
    <definedName name="_xlnm._FilterDatabase" localSheetId="6" hidden="1">'tørk og hyggiene'!$A$1:$H$71</definedName>
    <definedName name="_xlnm.Print_Area" localSheetId="0">Hovedside!$A$1:$H$15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1" i="5" l="1"/>
  <c r="N51" i="27"/>
  <c r="O51" i="27"/>
  <c r="M51" i="27"/>
  <c r="D22" i="11"/>
  <c r="D26" i="11"/>
  <c r="D24" i="11"/>
  <c r="A2" i="12"/>
  <c r="A9" i="5"/>
  <c r="A10" i="5" s="1"/>
  <c r="A11" i="5" s="1"/>
  <c r="A12" i="5" s="1"/>
  <c r="A13" i="5" s="1"/>
  <c r="A14" i="5" s="1"/>
  <c r="A15" i="5" s="1"/>
  <c r="A16" i="5" s="1"/>
  <c r="A17" i="5" s="1"/>
  <c r="A18" i="5" s="1"/>
  <c r="A19" i="5" s="1"/>
  <c r="A20" i="5" s="1"/>
  <c r="A2" i="5"/>
  <c r="A3" i="5" s="1"/>
  <c r="A4" i="5" s="1"/>
  <c r="A5" i="5" s="1"/>
  <c r="A6" i="5" s="1"/>
  <c r="A7" i="5" s="1"/>
  <c r="A8" i="5" s="1"/>
  <c r="A3" i="4"/>
  <c r="A4" i="4" s="1"/>
  <c r="A5" i="4" s="1"/>
  <c r="A6" i="4" s="1"/>
  <c r="A7" i="4" s="1"/>
  <c r="A2" i="4"/>
  <c r="M22" i="4"/>
  <c r="N22" i="4" s="1"/>
  <c r="M32" i="4"/>
  <c r="M33" i="4"/>
  <c r="N33" i="4" s="1"/>
  <c r="M34" i="4"/>
  <c r="N34" i="4" s="1"/>
  <c r="M35" i="4"/>
  <c r="N35" i="4" s="1"/>
  <c r="M36" i="4"/>
  <c r="N36" i="4" s="1"/>
  <c r="M37" i="4"/>
  <c r="N37" i="4" s="1"/>
  <c r="M8" i="4"/>
  <c r="N8" i="4" s="1"/>
  <c r="M13" i="4"/>
  <c r="N13" i="4" s="1"/>
  <c r="M16" i="4"/>
  <c r="N16" i="4" s="1"/>
  <c r="M24" i="4"/>
  <c r="F73" i="11"/>
  <c r="F55" i="11"/>
  <c r="F49" i="11"/>
  <c r="F9" i="10"/>
  <c r="F4" i="10"/>
  <c r="F33" i="27"/>
  <c r="O33" i="27" s="1"/>
  <c r="F32" i="27"/>
  <c r="F31" i="27"/>
  <c r="F22" i="27"/>
  <c r="O22" i="27" s="1"/>
  <c r="F19" i="27"/>
  <c r="O19" i="27" s="1"/>
  <c r="F20" i="27"/>
  <c r="F18" i="27"/>
  <c r="F16" i="27"/>
  <c r="F15" i="27"/>
  <c r="F14" i="27"/>
  <c r="F13" i="27"/>
  <c r="F12" i="27"/>
  <c r="O12" i="27" s="1"/>
  <c r="F11" i="27"/>
  <c r="F5" i="27"/>
  <c r="O5" i="27" s="1"/>
  <c r="F4" i="27"/>
  <c r="O4" i="27" s="1"/>
  <c r="F22" i="4"/>
  <c r="O22" i="4" s="1"/>
  <c r="F37" i="4"/>
  <c r="M3" i="10"/>
  <c r="M4" i="10"/>
  <c r="M5" i="10"/>
  <c r="M6" i="10"/>
  <c r="M7" i="10"/>
  <c r="M8" i="10"/>
  <c r="M9" i="10"/>
  <c r="M10" i="10"/>
  <c r="M11" i="10"/>
  <c r="M12" i="10"/>
  <c r="M13" i="10"/>
  <c r="M14" i="10"/>
  <c r="M15" i="10"/>
  <c r="M16" i="10"/>
  <c r="K51" i="27"/>
  <c r="O20" i="27"/>
  <c r="O48" i="27"/>
  <c r="N19" i="27"/>
  <c r="N20" i="27"/>
  <c r="N24" i="27"/>
  <c r="N25" i="27"/>
  <c r="N29" i="27"/>
  <c r="N30" i="27"/>
  <c r="N33" i="27"/>
  <c r="N34" i="27"/>
  <c r="N37" i="27"/>
  <c r="N38" i="27"/>
  <c r="N44" i="27"/>
  <c r="N45" i="27"/>
  <c r="N48" i="27"/>
  <c r="N49" i="27"/>
  <c r="N23" i="27"/>
  <c r="N28" i="27"/>
  <c r="N43" i="27"/>
  <c r="N50" i="27"/>
  <c r="M18" i="27"/>
  <c r="N18" i="27" s="1"/>
  <c r="M19" i="27"/>
  <c r="M20" i="27"/>
  <c r="M21" i="27"/>
  <c r="M22" i="27"/>
  <c r="N22" i="27" s="1"/>
  <c r="M24" i="27"/>
  <c r="O24" i="27" s="1"/>
  <c r="M25" i="27"/>
  <c r="M26" i="27"/>
  <c r="N26" i="27" s="1"/>
  <c r="M27" i="27"/>
  <c r="M29" i="27"/>
  <c r="M30" i="27"/>
  <c r="M31" i="27"/>
  <c r="N31" i="27" s="1"/>
  <c r="M32" i="27"/>
  <c r="N32" i="27" s="1"/>
  <c r="M33" i="27"/>
  <c r="M34" i="27"/>
  <c r="M35" i="27"/>
  <c r="N35" i="27" s="1"/>
  <c r="M36" i="27"/>
  <c r="N36" i="27" s="1"/>
  <c r="M37" i="27"/>
  <c r="M38" i="27"/>
  <c r="O38" i="27" s="1"/>
  <c r="M39" i="27"/>
  <c r="N39" i="27" s="1"/>
  <c r="M40" i="27"/>
  <c r="N40" i="27" s="1"/>
  <c r="M44" i="27"/>
  <c r="M45" i="27"/>
  <c r="M46" i="27"/>
  <c r="N46" i="27" s="1"/>
  <c r="M47" i="27"/>
  <c r="N47" i="27" s="1"/>
  <c r="M48" i="27"/>
  <c r="M49" i="27"/>
  <c r="M7" i="27"/>
  <c r="N7" i="27" s="1"/>
  <c r="M10" i="27"/>
  <c r="N10" i="27" s="1"/>
  <c r="M23" i="27"/>
  <c r="M28" i="27"/>
  <c r="M41" i="27"/>
  <c r="N41" i="27" s="1"/>
  <c r="M42" i="27"/>
  <c r="N42" i="27" s="1"/>
  <c r="M43" i="27"/>
  <c r="M50" i="27"/>
  <c r="O15" i="27"/>
  <c r="N4" i="27"/>
  <c r="N5" i="27"/>
  <c r="N9" i="27"/>
  <c r="N11" i="27"/>
  <c r="N14" i="27"/>
  <c r="N15" i="27"/>
  <c r="M3" i="27"/>
  <c r="M4" i="27"/>
  <c r="M5" i="27"/>
  <c r="M6" i="27"/>
  <c r="N6" i="27" s="1"/>
  <c r="M8" i="27"/>
  <c r="O8" i="27" s="1"/>
  <c r="M9" i="27"/>
  <c r="M11" i="27"/>
  <c r="M12" i="27"/>
  <c r="N12" i="27" s="1"/>
  <c r="M13" i="27"/>
  <c r="N13" i="27" s="1"/>
  <c r="M14" i="27"/>
  <c r="M15" i="27"/>
  <c r="M16" i="27"/>
  <c r="O16" i="27" s="1"/>
  <c r="M17" i="27"/>
  <c r="O17" i="27" s="1"/>
  <c r="N3" i="10"/>
  <c r="N5" i="10"/>
  <c r="N7" i="10"/>
  <c r="N9" i="10"/>
  <c r="N4" i="10"/>
  <c r="N6" i="10"/>
  <c r="N8" i="10"/>
  <c r="O9" i="10"/>
  <c r="M4" i="12"/>
  <c r="O4" i="12" s="1"/>
  <c r="M2" i="12"/>
  <c r="N2" i="12" s="1"/>
  <c r="M3" i="12"/>
  <c r="O3" i="12" s="1"/>
  <c r="M6" i="12"/>
  <c r="O6" i="12" s="1"/>
  <c r="M3" i="11"/>
  <c r="N3" i="11" s="1"/>
  <c r="M4" i="11"/>
  <c r="N4" i="11" s="1"/>
  <c r="M5" i="11"/>
  <c r="N5" i="11" s="1"/>
  <c r="M6" i="11"/>
  <c r="N6" i="11" s="1"/>
  <c r="M7" i="11"/>
  <c r="N7" i="11" s="1"/>
  <c r="M9" i="11"/>
  <c r="N9" i="11" s="1"/>
  <c r="M11" i="11"/>
  <c r="N11" i="11" s="1"/>
  <c r="M13" i="11"/>
  <c r="N13" i="11" s="1"/>
  <c r="M15" i="11"/>
  <c r="N15" i="11" s="1"/>
  <c r="M16" i="11"/>
  <c r="N16" i="11" s="1"/>
  <c r="M17" i="11"/>
  <c r="M18" i="11"/>
  <c r="N18" i="11" s="1"/>
  <c r="M20" i="11"/>
  <c r="N20" i="11" s="1"/>
  <c r="M21" i="11"/>
  <c r="N21" i="11" s="1"/>
  <c r="M22" i="11"/>
  <c r="N22" i="11" s="1"/>
  <c r="M23" i="11"/>
  <c r="N23" i="11" s="1"/>
  <c r="M24" i="11"/>
  <c r="N24" i="11" s="1"/>
  <c r="M25" i="11"/>
  <c r="N25" i="11" s="1"/>
  <c r="M26" i="11"/>
  <c r="N26" i="11" s="1"/>
  <c r="M27" i="11"/>
  <c r="N27" i="11" s="1"/>
  <c r="M28" i="11"/>
  <c r="N28" i="11" s="1"/>
  <c r="M29" i="11"/>
  <c r="N29" i="11" s="1"/>
  <c r="M30" i="11"/>
  <c r="N30" i="11" s="1"/>
  <c r="M31" i="11"/>
  <c r="N31" i="11" s="1"/>
  <c r="M32" i="11"/>
  <c r="N32" i="11" s="1"/>
  <c r="M33" i="11"/>
  <c r="N33" i="11" s="1"/>
  <c r="M34" i="11"/>
  <c r="N34" i="11" s="1"/>
  <c r="M35" i="11"/>
  <c r="N35" i="11" s="1"/>
  <c r="M36" i="11"/>
  <c r="N36" i="11" s="1"/>
  <c r="M37" i="11"/>
  <c r="N37" i="11" s="1"/>
  <c r="M39" i="11"/>
  <c r="N39" i="11" s="1"/>
  <c r="M40" i="11"/>
  <c r="N40" i="11" s="1"/>
  <c r="M41" i="11"/>
  <c r="M42" i="11"/>
  <c r="N42" i="11" s="1"/>
  <c r="M43" i="11"/>
  <c r="N43" i="11" s="1"/>
  <c r="M44" i="11"/>
  <c r="N44" i="11" s="1"/>
  <c r="M45" i="11"/>
  <c r="M46" i="11"/>
  <c r="N46" i="11" s="1"/>
  <c r="M47" i="11"/>
  <c r="N47" i="11" s="1"/>
  <c r="M48" i="11"/>
  <c r="N48" i="11" s="1"/>
  <c r="M49" i="11"/>
  <c r="M51" i="11"/>
  <c r="N51" i="11" s="1"/>
  <c r="M52" i="11"/>
  <c r="N52" i="11" s="1"/>
  <c r="M53" i="11"/>
  <c r="N53" i="11" s="1"/>
  <c r="M54" i="11"/>
  <c r="N54" i="11" s="1"/>
  <c r="M55" i="11"/>
  <c r="O55" i="11" s="1"/>
  <c r="M56" i="11"/>
  <c r="N56" i="11" s="1"/>
  <c r="M57" i="11"/>
  <c r="N57" i="11" s="1"/>
  <c r="M58" i="11"/>
  <c r="M59" i="11"/>
  <c r="M61" i="11"/>
  <c r="N61" i="11" s="1"/>
  <c r="M62" i="11"/>
  <c r="N62" i="11" s="1"/>
  <c r="M63" i="11"/>
  <c r="M64" i="11"/>
  <c r="N64" i="11" s="1"/>
  <c r="M65" i="11"/>
  <c r="N65" i="11" s="1"/>
  <c r="M66" i="11"/>
  <c r="N66" i="11" s="1"/>
  <c r="M67" i="11"/>
  <c r="N67" i="11" s="1"/>
  <c r="M68" i="11"/>
  <c r="N68" i="11" s="1"/>
  <c r="M70" i="11"/>
  <c r="N70" i="11" s="1"/>
  <c r="M71" i="11"/>
  <c r="N71" i="11" s="1"/>
  <c r="M72" i="11"/>
  <c r="N72" i="11" s="1"/>
  <c r="M73" i="11"/>
  <c r="O73" i="11" s="1"/>
  <c r="M74" i="11"/>
  <c r="N74" i="11" s="1"/>
  <c r="M75" i="11"/>
  <c r="N75" i="11" s="1"/>
  <c r="M76" i="11"/>
  <c r="N76" i="11" s="1"/>
  <c r="M77" i="11"/>
  <c r="N77" i="11" s="1"/>
  <c r="M78" i="11"/>
  <c r="N78" i="11" s="1"/>
  <c r="M79" i="11"/>
  <c r="N79" i="11" s="1"/>
  <c r="M38" i="11"/>
  <c r="N38" i="11" s="1"/>
  <c r="M8" i="11"/>
  <c r="N8" i="11" s="1"/>
  <c r="M10" i="11"/>
  <c r="N10" i="11" s="1"/>
  <c r="M12" i="11"/>
  <c r="N12" i="11" s="1"/>
  <c r="M14" i="11"/>
  <c r="N14" i="11" s="1"/>
  <c r="M19" i="11"/>
  <c r="N19" i="11" s="1"/>
  <c r="M50" i="11"/>
  <c r="N50" i="11" s="1"/>
  <c r="M60" i="11"/>
  <c r="N60" i="11" s="1"/>
  <c r="M69" i="11"/>
  <c r="N69" i="11" s="1"/>
  <c r="D21" i="27"/>
  <c r="D74" i="11"/>
  <c r="F8" i="27"/>
  <c r="F38" i="27"/>
  <c r="F17" i="27"/>
  <c r="D33" i="4"/>
  <c r="D66" i="11"/>
  <c r="F66" i="11" s="1"/>
  <c r="F8" i="4"/>
  <c r="F29" i="4"/>
  <c r="K39" i="4"/>
  <c r="O66" i="11" l="1"/>
  <c r="N63" i="11"/>
  <c r="N45" i="11"/>
  <c r="N73" i="11"/>
  <c r="N55" i="11"/>
  <c r="O49" i="11"/>
  <c r="N59" i="11"/>
  <c r="N58" i="11"/>
  <c r="N49" i="11"/>
  <c r="N41" i="11"/>
  <c r="N17" i="11"/>
  <c r="O39" i="11"/>
  <c r="N3" i="12"/>
  <c r="O2" i="12"/>
  <c r="N4" i="12"/>
  <c r="N6" i="12"/>
  <c r="O49" i="27"/>
  <c r="O30" i="27"/>
  <c r="O9" i="27"/>
  <c r="O21" i="27"/>
  <c r="O13" i="27"/>
  <c r="O31" i="27"/>
  <c r="N17" i="27"/>
  <c r="N8" i="27"/>
  <c r="N3" i="27"/>
  <c r="O47" i="27"/>
  <c r="O18" i="27"/>
  <c r="N16" i="27"/>
  <c r="N27" i="27"/>
  <c r="O7" i="27"/>
  <c r="O11" i="27"/>
  <c r="O14" i="27"/>
  <c r="O32" i="27"/>
  <c r="O26" i="27"/>
  <c r="N21" i="27"/>
  <c r="O35" i="4"/>
  <c r="O8" i="4"/>
  <c r="O37" i="4"/>
  <c r="O33" i="4"/>
  <c r="O3" i="10"/>
  <c r="O8" i="10"/>
  <c r="O4" i="10"/>
  <c r="F43" i="27"/>
  <c r="O43" i="27" s="1"/>
  <c r="F41" i="27"/>
  <c r="O41" i="27" s="1"/>
  <c r="F42" i="27"/>
  <c r="O42" i="27" s="1"/>
  <c r="F10" i="27"/>
  <c r="O10" i="27" s="1"/>
  <c r="F23" i="27"/>
  <c r="O23" i="27" s="1"/>
  <c r="F7" i="27"/>
  <c r="F28" i="27"/>
  <c r="O28" i="27" s="1"/>
  <c r="F50" i="27"/>
  <c r="O50" i="27" s="1"/>
  <c r="F21" i="27"/>
  <c r="F34" i="27"/>
  <c r="O34" i="27" s="1"/>
  <c r="F27" i="27"/>
  <c r="O27" i="27" s="1"/>
  <c r="F25" i="27"/>
  <c r="O25" i="27" s="1"/>
  <c r="F6" i="27"/>
  <c r="O6" i="27" s="1"/>
  <c r="F3" i="27"/>
  <c r="O3" i="27" s="1"/>
  <c r="F2" i="27"/>
  <c r="F45" i="27"/>
  <c r="O45" i="27" s="1"/>
  <c r="F29" i="27"/>
  <c r="O29" i="27" s="1"/>
  <c r="F47" i="27"/>
  <c r="F49" i="27"/>
  <c r="F39" i="27"/>
  <c r="O39" i="27" s="1"/>
  <c r="F40" i="27"/>
  <c r="O40" i="27" s="1"/>
  <c r="F44" i="27"/>
  <c r="O44" i="27" s="1"/>
  <c r="F37" i="27"/>
  <c r="O37" i="27" s="1"/>
  <c r="F46" i="27"/>
  <c r="O46" i="27" s="1"/>
  <c r="F9" i="27"/>
  <c r="F26" i="27"/>
  <c r="F36" i="27"/>
  <c r="O36" i="27" s="1"/>
  <c r="F35" i="27"/>
  <c r="O35" i="27" s="1"/>
  <c r="F30" i="27"/>
  <c r="F24" i="27"/>
  <c r="F13" i="10"/>
  <c r="F10" i="10"/>
  <c r="F11" i="10"/>
  <c r="F2" i="10"/>
  <c r="F5" i="10"/>
  <c r="O5" i="10" s="1"/>
  <c r="F3" i="10"/>
  <c r="F8" i="10"/>
  <c r="F7" i="10"/>
  <c r="O7" i="10" s="1"/>
  <c r="F6" i="10"/>
  <c r="O6" i="10" s="1"/>
  <c r="F27" i="4"/>
  <c r="F34" i="4"/>
  <c r="O34" i="4" s="1"/>
  <c r="F20" i="4"/>
  <c r="F7" i="4"/>
  <c r="F16" i="4"/>
  <c r="F38" i="4"/>
  <c r="F25" i="4"/>
  <c r="F18" i="4"/>
  <c r="F19" i="4"/>
  <c r="F30" i="4"/>
  <c r="F5" i="4"/>
  <c r="F21" i="4"/>
  <c r="F14" i="4"/>
  <c r="F17" i="4"/>
  <c r="F36" i="4"/>
  <c r="O36" i="4" s="1"/>
  <c r="F10" i="4"/>
  <c r="F9" i="4"/>
  <c r="F3" i="4"/>
  <c r="F32" i="4"/>
  <c r="F11" i="4"/>
  <c r="F26" i="4"/>
  <c r="F28" i="4"/>
  <c r="F31" i="4"/>
  <c r="F2" i="4"/>
  <c r="F12" i="4"/>
  <c r="F13" i="4"/>
  <c r="O13" i="4" s="1"/>
  <c r="F24" i="4"/>
  <c r="F76" i="11"/>
  <c r="O76" i="11" s="1"/>
  <c r="F31" i="11"/>
  <c r="O31" i="11" s="1"/>
  <c r="F28" i="11"/>
  <c r="O28" i="11" s="1"/>
  <c r="F33" i="11"/>
  <c r="O33" i="11" s="1"/>
  <c r="F35" i="11"/>
  <c r="O35" i="11" s="1"/>
  <c r="F32" i="11"/>
  <c r="O32" i="11" s="1"/>
  <c r="F37" i="11"/>
  <c r="O37" i="11" s="1"/>
  <c r="F34" i="11"/>
  <c r="O34" i="11" s="1"/>
  <c r="F30" i="11"/>
  <c r="O30" i="11" s="1"/>
  <c r="F3" i="11"/>
  <c r="O3" i="11" s="1"/>
  <c r="F71" i="11"/>
  <c r="O71" i="11" s="1"/>
  <c r="F52" i="11"/>
  <c r="O52" i="11" s="1"/>
  <c r="F21" i="11"/>
  <c r="O21" i="11" s="1"/>
  <c r="F25" i="11"/>
  <c r="O25" i="11" s="1"/>
  <c r="F23" i="11"/>
  <c r="O23" i="11" s="1"/>
  <c r="F56" i="11" l="1"/>
  <c r="O56" i="11" s="1"/>
  <c r="F67" i="11"/>
  <c r="O67" i="11" s="1"/>
  <c r="F68" i="11"/>
  <c r="O68" i="11" s="1"/>
  <c r="F65" i="11"/>
  <c r="O65" i="11" s="1"/>
  <c r="F70" i="11"/>
  <c r="O70" i="11" s="1"/>
  <c r="F72" i="11"/>
  <c r="O72" i="11" s="1"/>
  <c r="F79" i="11"/>
  <c r="O79" i="11" s="1"/>
  <c r="F57" i="11"/>
  <c r="O57" i="11" s="1"/>
  <c r="F42" i="11"/>
  <c r="O42" i="11" s="1"/>
  <c r="F2" i="11"/>
  <c r="F5" i="11"/>
  <c r="O5" i="11" s="1"/>
  <c r="F16" i="11"/>
  <c r="O16" i="11" s="1"/>
  <c r="F15" i="11"/>
  <c r="O15" i="11" s="1"/>
  <c r="F13" i="11"/>
  <c r="O13" i="11" s="1"/>
  <c r="F11" i="11"/>
  <c r="O11" i="11" s="1"/>
  <c r="F9" i="11"/>
  <c r="O9" i="11" s="1"/>
  <c r="F7" i="11"/>
  <c r="O7" i="11" s="1"/>
  <c r="F6" i="11"/>
  <c r="O6" i="11" s="1"/>
  <c r="F61" i="11"/>
  <c r="O61" i="11" s="1"/>
  <c r="F75" i="11"/>
  <c r="O75" i="11" s="1"/>
  <c r="F62" i="11"/>
  <c r="O62" i="11" s="1"/>
  <c r="F27" i="11"/>
  <c r="O27" i="11" s="1"/>
  <c r="F47" i="11"/>
  <c r="O47" i="11" s="1"/>
  <c r="F48" i="11"/>
  <c r="O48" i="11" s="1"/>
  <c r="F38" i="11"/>
  <c r="O38" i="11" s="1"/>
  <c r="F69" i="11"/>
  <c r="O69" i="11" s="1"/>
  <c r="F50" i="11"/>
  <c r="O50" i="11" s="1"/>
  <c r="F60" i="11"/>
  <c r="O60" i="11" s="1"/>
  <c r="F46" i="11"/>
  <c r="O46" i="11" s="1"/>
  <c r="F51" i="11"/>
  <c r="O51" i="11" s="1"/>
  <c r="F4" i="11"/>
  <c r="O4" i="11" s="1"/>
  <c r="F36" i="11"/>
  <c r="O36" i="11" s="1"/>
  <c r="F10" i="11"/>
  <c r="O10" i="11" s="1"/>
  <c r="F12" i="11"/>
  <c r="O12" i="11" s="1"/>
  <c r="F8" i="11"/>
  <c r="O8" i="11" s="1"/>
  <c r="F14" i="11"/>
  <c r="O14" i="11" s="1"/>
  <c r="F54" i="11"/>
  <c r="O54" i="11" s="1"/>
  <c r="F29" i="11"/>
  <c r="O29" i="11" s="1"/>
  <c r="F53" i="11"/>
  <c r="O53" i="11" s="1"/>
  <c r="F74" i="11"/>
  <c r="O74" i="11" s="1"/>
  <c r="F58" i="11"/>
  <c r="O58" i="11" s="1"/>
  <c r="F63" i="11"/>
  <c r="O63" i="11" s="1"/>
  <c r="F59" i="11"/>
  <c r="O59" i="11" s="1"/>
  <c r="F64" i="11"/>
  <c r="O64" i="11" s="1"/>
  <c r="F40" i="11"/>
  <c r="O40" i="11" s="1"/>
  <c r="F17" i="11"/>
  <c r="O17" i="11" s="1"/>
  <c r="F77" i="11"/>
  <c r="O77" i="11" s="1"/>
  <c r="F78" i="11"/>
  <c r="O78" i="11" s="1"/>
  <c r="F41" i="11"/>
  <c r="O41" i="11" s="1"/>
  <c r="F43" i="11"/>
  <c r="O43" i="11" s="1"/>
  <c r="F45" i="11"/>
  <c r="O45" i="11" s="1"/>
  <c r="F44" i="11"/>
  <c r="O44" i="11" s="1"/>
  <c r="K80" i="11" l="1"/>
  <c r="K21" i="5"/>
  <c r="K17" i="10"/>
  <c r="D13" i="19" l="1"/>
  <c r="E13" i="19"/>
  <c r="F13" i="19"/>
  <c r="G13" i="19"/>
  <c r="C13" i="19"/>
  <c r="M16" i="5"/>
  <c r="O16" i="5" s="1"/>
  <c r="M17" i="5"/>
  <c r="O17" i="5" s="1"/>
  <c r="M14" i="5"/>
  <c r="O14" i="5" s="1"/>
  <c r="M15" i="5"/>
  <c r="O15" i="5" s="1"/>
  <c r="M11" i="5"/>
  <c r="O11" i="5" s="1"/>
  <c r="M9" i="5"/>
  <c r="O9" i="5" s="1"/>
  <c r="M18" i="5"/>
  <c r="O18" i="5" s="1"/>
  <c r="M13" i="5"/>
  <c r="O13" i="5" s="1"/>
  <c r="M6" i="4"/>
  <c r="O6" i="4" s="1"/>
  <c r="N18" i="5" l="1"/>
  <c r="N14" i="5"/>
  <c r="N16" i="5"/>
  <c r="N9" i="5"/>
  <c r="N17" i="5"/>
  <c r="N11" i="5"/>
  <c r="N13" i="5"/>
  <c r="N15" i="5"/>
  <c r="M2" i="27"/>
  <c r="O2" i="27" s="1"/>
  <c r="N2" i="27" l="1"/>
  <c r="O16" i="4" l="1"/>
  <c r="N24" i="4"/>
  <c r="O24" i="4"/>
  <c r="M12" i="4"/>
  <c r="O12" i="4" s="1"/>
  <c r="M25" i="4"/>
  <c r="O25" i="4" s="1"/>
  <c r="M38" i="4"/>
  <c r="O38" i="4" s="1"/>
  <c r="M2" i="11"/>
  <c r="N2" i="11" l="1"/>
  <c r="O2" i="11"/>
  <c r="N12" i="4"/>
  <c r="N38" i="4"/>
  <c r="N25" i="4"/>
  <c r="F26" i="11" l="1"/>
  <c r="O26" i="11" s="1"/>
  <c r="F24" i="11"/>
  <c r="O24" i="11" s="1"/>
  <c r="F22" i="11"/>
  <c r="O22" i="11" s="1"/>
  <c r="F18" i="11"/>
  <c r="O18" i="11" s="1"/>
  <c r="F19" i="11"/>
  <c r="O19" i="11" s="1"/>
  <c r="F20" i="11"/>
  <c r="O20" i="11" s="1"/>
  <c r="K7" i="12"/>
  <c r="M5" i="12"/>
  <c r="N5" i="12" s="1"/>
  <c r="N7" i="12" s="1"/>
  <c r="O16" i="10"/>
  <c r="O13" i="10"/>
  <c r="O12" i="10"/>
  <c r="O10" i="10"/>
  <c r="O11" i="10"/>
  <c r="M2" i="10"/>
  <c r="M12" i="5"/>
  <c r="M2" i="5"/>
  <c r="O2" i="5" s="1"/>
  <c r="M20" i="5"/>
  <c r="O20" i="5" s="1"/>
  <c r="M6" i="5"/>
  <c r="O6" i="5" s="1"/>
  <c r="M7" i="5"/>
  <c r="M8" i="5"/>
  <c r="M5" i="5"/>
  <c r="O5" i="5" s="1"/>
  <c r="M4" i="5"/>
  <c r="O4" i="5" s="1"/>
  <c r="M3" i="5"/>
  <c r="M10" i="5"/>
  <c r="O10" i="5" s="1"/>
  <c r="M19" i="5"/>
  <c r="O19" i="5" s="1"/>
  <c r="M18" i="4"/>
  <c r="O18" i="4" s="1"/>
  <c r="M19" i="4"/>
  <c r="O19" i="4" s="1"/>
  <c r="M30" i="4"/>
  <c r="O30" i="4" s="1"/>
  <c r="M2" i="4"/>
  <c r="O2" i="4" s="1"/>
  <c r="M5" i="4"/>
  <c r="O5" i="4" s="1"/>
  <c r="M21" i="4"/>
  <c r="O21" i="4" s="1"/>
  <c r="M14" i="4"/>
  <c r="O14" i="4" s="1"/>
  <c r="M29" i="4"/>
  <c r="O29" i="4" s="1"/>
  <c r="M17" i="4"/>
  <c r="O17" i="4" s="1"/>
  <c r="M31" i="4"/>
  <c r="O31" i="4" s="1"/>
  <c r="M28" i="4"/>
  <c r="O28" i="4" s="1"/>
  <c r="M26" i="4"/>
  <c r="O26" i="4" s="1"/>
  <c r="M10" i="4"/>
  <c r="O10" i="4" s="1"/>
  <c r="M9" i="4"/>
  <c r="O9" i="4" s="1"/>
  <c r="M11" i="4"/>
  <c r="O11" i="4" s="1"/>
  <c r="O32" i="4"/>
  <c r="M3" i="4"/>
  <c r="O3" i="4" s="1"/>
  <c r="M27" i="4"/>
  <c r="O27" i="4" s="1"/>
  <c r="M15" i="4"/>
  <c r="O15" i="4" s="1"/>
  <c r="M20" i="4"/>
  <c r="O20" i="4" s="1"/>
  <c r="M4" i="4"/>
  <c r="O4" i="4" s="1"/>
  <c r="M7" i="4"/>
  <c r="O7" i="4" s="1"/>
  <c r="M23" i="4"/>
  <c r="O23" i="4" l="1"/>
  <c r="N23" i="4"/>
  <c r="N2" i="10"/>
  <c r="O2" i="10"/>
  <c r="N14" i="10"/>
  <c r="O14" i="10"/>
  <c r="N15" i="10"/>
  <c r="O15" i="10"/>
  <c r="N3" i="4"/>
  <c r="N31" i="4"/>
  <c r="N7" i="4"/>
  <c r="N17" i="4"/>
  <c r="N5" i="4"/>
  <c r="N18" i="4"/>
  <c r="N20" i="4"/>
  <c r="N27" i="4"/>
  <c r="N9" i="4"/>
  <c r="N28" i="4"/>
  <c r="N30" i="4"/>
  <c r="N4" i="4"/>
  <c r="N15" i="4"/>
  <c r="N11" i="4"/>
  <c r="N26" i="4"/>
  <c r="N2" i="4"/>
  <c r="M80" i="11"/>
  <c r="N21" i="4"/>
  <c r="N14" i="4"/>
  <c r="N29" i="4"/>
  <c r="N32" i="4"/>
  <c r="N19" i="4"/>
  <c r="N10" i="4"/>
  <c r="M39" i="4"/>
  <c r="N10" i="5"/>
  <c r="N8" i="5"/>
  <c r="O8" i="5"/>
  <c r="N3" i="5"/>
  <c r="O3" i="5"/>
  <c r="N7" i="5"/>
  <c r="O7" i="5"/>
  <c r="N2" i="5"/>
  <c r="N19" i="5"/>
  <c r="M21" i="5"/>
  <c r="N12" i="5"/>
  <c r="O12" i="5"/>
  <c r="M17" i="10"/>
  <c r="N10" i="10"/>
  <c r="N13" i="10"/>
  <c r="N5" i="5"/>
  <c r="N20" i="5"/>
  <c r="N11" i="10"/>
  <c r="N12" i="10"/>
  <c r="N16" i="10"/>
  <c r="M7" i="12"/>
  <c r="C10" i="3" s="1"/>
  <c r="O5" i="12"/>
  <c r="N4" i="5"/>
  <c r="N6" i="5"/>
  <c r="N6" i="4"/>
  <c r="N17" i="10" l="1"/>
  <c r="N80" i="11"/>
  <c r="M8" i="12"/>
  <c r="D10" i="3" s="1"/>
  <c r="M18" i="10"/>
  <c r="D9" i="3" s="1"/>
  <c r="C9" i="3"/>
  <c r="C8" i="3"/>
  <c r="M52" i="27"/>
  <c r="D8" i="3" s="1"/>
  <c r="C7" i="3"/>
  <c r="M22" i="5"/>
  <c r="D7" i="3" s="1"/>
  <c r="N39" i="4"/>
  <c r="C6" i="3"/>
  <c r="M40" i="4"/>
  <c r="D6" i="3" s="1"/>
  <c r="O7" i="12"/>
  <c r="M81" i="11"/>
  <c r="D11" i="3" s="1"/>
  <c r="C11" i="3"/>
  <c r="O80" i="11"/>
  <c r="O39" i="4"/>
  <c r="O21" i="5"/>
  <c r="O17" i="10"/>
  <c r="C12" i="3" l="1"/>
  <c r="A8" i="4" l="1"/>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2" i="27"/>
  <c r="A3" i="27" s="1"/>
  <c r="A4" i="27" s="1"/>
  <c r="A5" i="27" s="1"/>
  <c r="A6" i="27" s="1"/>
  <c r="A7" i="27" s="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2" i="10" s="1"/>
  <c r="A3" i="10" s="1"/>
  <c r="A4" i="10" s="1"/>
  <c r="A5" i="10" s="1"/>
  <c r="A6" i="10" s="1"/>
  <c r="A7" i="10" s="1"/>
  <c r="A8" i="10" s="1"/>
  <c r="A9" i="10" s="1"/>
  <c r="A10" i="10" s="1"/>
  <c r="A11" i="10" s="1"/>
  <c r="A12" i="10" s="1"/>
  <c r="A13" i="10" s="1"/>
  <c r="A14" i="10" s="1"/>
  <c r="A15" i="10" s="1"/>
  <c r="A16" i="10" s="1"/>
  <c r="A2" i="11" s="1"/>
  <c r="A3" i="11" s="1"/>
  <c r="A4" i="11" s="1"/>
  <c r="A5" i="11" s="1"/>
  <c r="A6" i="11" s="1"/>
  <c r="A7" i="11" s="1"/>
  <c r="A8" i="11" s="1"/>
  <c r="A9" i="11" s="1"/>
  <c r="A10" i="11" s="1"/>
  <c r="A11" i="11" s="1"/>
  <c r="A12" i="11" s="1"/>
  <c r="A13" i="11" s="1"/>
  <c r="A14" i="11" s="1"/>
  <c r="A15" i="11" s="1"/>
  <c r="A16" i="11" s="1"/>
  <c r="A17" i="11" s="1"/>
  <c r="A3" i="12"/>
  <c r="A4" i="12" s="1"/>
  <c r="A5" i="12" s="1"/>
  <c r="A6" i="12" s="1"/>
  <c r="A18" i="11" l="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alcChain>
</file>

<file path=xl/sharedStrings.xml><?xml version="1.0" encoding="utf-8"?>
<sst xmlns="http://schemas.openxmlformats.org/spreadsheetml/2006/main" count="796" uniqueCount="372">
  <si>
    <t>Varegrupper</t>
  </si>
  <si>
    <t>M</t>
  </si>
  <si>
    <t>Tilbudspris</t>
  </si>
  <si>
    <t>Pris på årsforbruk</t>
  </si>
  <si>
    <t>Årsforbruk</t>
  </si>
  <si>
    <t>Tilbyders produktnavn</t>
  </si>
  <si>
    <t>Sum</t>
  </si>
  <si>
    <t>Prisarkenes oppbygging</t>
  </si>
  <si>
    <t>Forklaring til prisskjema</t>
  </si>
  <si>
    <t>Generelt:</t>
  </si>
  <si>
    <t>Farger</t>
  </si>
  <si>
    <t>NR</t>
  </si>
  <si>
    <t>Nr</t>
  </si>
  <si>
    <t>A</t>
  </si>
  <si>
    <t>Teller</t>
  </si>
  <si>
    <t>B-C</t>
  </si>
  <si>
    <t>D</t>
  </si>
  <si>
    <t>E</t>
  </si>
  <si>
    <t>F</t>
  </si>
  <si>
    <t>G</t>
  </si>
  <si>
    <t>H</t>
  </si>
  <si>
    <t>Antall i pakningen</t>
  </si>
  <si>
    <t>J</t>
  </si>
  <si>
    <t>K</t>
  </si>
  <si>
    <t>L</t>
  </si>
  <si>
    <t>Forklaringer</t>
  </si>
  <si>
    <t>Fabrikat navn og beskrivelse av produktet slik det vil vises i en katalog eller bestillingssystem. Det er viktig at det er samsvar mellom fabrikatnavn, merking på emballasje og fabrikat/produktinformasjon på eventuelle datablad</t>
  </si>
  <si>
    <t>Generelt</t>
  </si>
  <si>
    <t>poeng fra utvalgsmedlem 1</t>
  </si>
  <si>
    <t>poeng fra utvalgsmedlem 2</t>
  </si>
  <si>
    <t>poeng fra utvalgsmedlem 3</t>
  </si>
  <si>
    <t>Sum poeng (gjennomsnitt for alle utvalgsmedlemmer)</t>
  </si>
  <si>
    <t>EKSEMPEL</t>
  </si>
  <si>
    <t>Implementering</t>
  </si>
  <si>
    <t xml:space="preserve">Evaluering </t>
  </si>
  <si>
    <t>Tilbyder:</t>
  </si>
  <si>
    <t>Foretaksnummer:</t>
  </si>
  <si>
    <t xml:space="preserve"> </t>
  </si>
  <si>
    <t>Priser på kjernesortiment</t>
  </si>
  <si>
    <t>Leverandør 1</t>
  </si>
  <si>
    <t>Hovedsiden</t>
  </si>
  <si>
    <t xml:space="preserve">Dersom et produkt kan leveres i ulike farger, men for øvrig med identisk form og funksjon skal den oppgitte prisen gjelde for alle fargevariantene som er tilgjengelig i tilbyders sortiment. </t>
  </si>
  <si>
    <t>Øvrige regneark - kolonne</t>
  </si>
  <si>
    <t>enhet</t>
  </si>
  <si>
    <t>Enhet</t>
  </si>
  <si>
    <t>Tilbudspris på salgspakning</t>
  </si>
  <si>
    <t>Tilbudspris på salgsforpakning</t>
  </si>
  <si>
    <t>Fylles inn automatisk (antall i salgsforpakning X tilbudspris pr enhet)</t>
  </si>
  <si>
    <t>Kolonne B og C Varegruppe, navn og beskrivelse</t>
  </si>
  <si>
    <t>Prisskjema for Vågan kommune</t>
  </si>
  <si>
    <t>Estimert Årsforbruk</t>
  </si>
  <si>
    <t>Tilbyders artikkel nummer</t>
  </si>
  <si>
    <t>Tilbyders artikkel navn</t>
  </si>
  <si>
    <t>Tilbyders                     artikkel                     nummer</t>
  </si>
  <si>
    <t>Varenavn på produkt som benyttes i dag</t>
  </si>
  <si>
    <t>Varenavn på produkt                                               som benyttes i dag</t>
  </si>
  <si>
    <t>Tilbyders artikkel nr</t>
  </si>
  <si>
    <t>Estimert            Årsforbruk</t>
  </si>
  <si>
    <t>Tilbyders artikkel nr.</t>
  </si>
  <si>
    <t>Estimert           Årsforbruk</t>
  </si>
  <si>
    <t>Tilbyders                   artikkel nr</t>
  </si>
  <si>
    <t>Tilbudspris på salgs-pakning</t>
  </si>
  <si>
    <t>Tilbyders produktnavn/Fabrikatnavn og beskrivelse</t>
  </si>
  <si>
    <r>
      <t xml:space="preserve">innkjøpsspris pluss påslag                                     </t>
    </r>
    <r>
      <rPr>
        <b/>
        <sz val="11"/>
        <color theme="1"/>
        <rFont val="Calibri"/>
        <family val="2"/>
        <scheme val="minor"/>
      </rPr>
      <t>(hentes fra hvert prisark)</t>
    </r>
  </si>
  <si>
    <r>
      <t xml:space="preserve">Varegruppens gjennomsnittspåslag </t>
    </r>
    <r>
      <rPr>
        <b/>
        <sz val="10"/>
        <color theme="1"/>
        <rFont val="Calibri"/>
        <family val="2"/>
        <scheme val="minor"/>
      </rPr>
      <t>(beregnes automatisk)</t>
    </r>
  </si>
  <si>
    <t>Estimert Års-forbruk</t>
  </si>
  <si>
    <t>Påslag på innkjøps-pris i %</t>
  </si>
  <si>
    <t>Påslag på innkjøpspris i %</t>
  </si>
  <si>
    <t>Påslag på innkjøps-pris  %</t>
  </si>
  <si>
    <t>Innkjøpspris u/påslag</t>
  </si>
  <si>
    <t>påslag på innkjøps-pris i %</t>
  </si>
  <si>
    <t>Innkjøpspris  pr enhet m/ påslag</t>
  </si>
  <si>
    <t>påslag på innkjøpspris i %</t>
  </si>
  <si>
    <t>Tilbudspris pr enhet m/ påslag</t>
  </si>
  <si>
    <t>Påslag på øvrig sortiment</t>
  </si>
  <si>
    <t>Innkjøpsutvalgets medlemmer leser hver for seg tilbudene og danner seg et bilde av hvordan tilbudene innfrir forventningen. Rangering av tilbudene gjøres i plenum.</t>
  </si>
  <si>
    <t>Bedømmelse av kvalitet</t>
  </si>
  <si>
    <t xml:space="preserve">Ved vurdering av kvalitetskriterium vil det bli beregnet en gjennomsnitts poengsum slik at max oppnåelige poengsum blir 10. Se eksempel under. </t>
  </si>
  <si>
    <t>Estimert                         Års-forbruk</t>
  </si>
  <si>
    <t>snitt påslag</t>
  </si>
  <si>
    <t xml:space="preserve">Hver varelinje har sitt unike nummer. Dette nummeret brukes til å identifisere produktdokumentasjon. </t>
  </si>
  <si>
    <t xml:space="preserve">Påslag oppgis for hver varelinje. Tilbudspris regnes ut automatisk. Gjennomsnittspåslag beregnes automatisk for hver varegruppe. Dette tallet er ment som kontroll både for tilbyder og oppdragsgiver. Siden det ikke er mulig å dekke alle varer innen en kategori i et prisskjema, skal tilbyder oppgi et påslag som skal gjelde for øvrige varer i hører til sortimentet eller gruppe. </t>
  </si>
  <si>
    <t>Skal fylles inn</t>
  </si>
  <si>
    <t>Oppgi påslag på innkjøpspris utenfor kjernesortimentet på prisskjemaet- gjelder for øvrige produkter i forhold til innkjøpspris i denne gruppen</t>
  </si>
  <si>
    <t>Krav til produktene/vare. Nr  - tilby tilsvarende funksjon og kvalitet</t>
  </si>
  <si>
    <t>Krav til produktene/ varenr. - tilby tilsvarende funksjon og kvalitet</t>
  </si>
  <si>
    <t>Krav til produktene/ varenummer- tilby tilsvarende funksjon og kvalitet</t>
  </si>
  <si>
    <t>Krav til produktene/ varenummer - tilby tilsvarende funksjon og kvalitet</t>
  </si>
  <si>
    <t>Datablad og Miljø</t>
  </si>
  <si>
    <t>Miljømerked</t>
  </si>
  <si>
    <t>Miljømerked - Her skal det oppgis miljøstatus på produktet</t>
  </si>
  <si>
    <t>N</t>
  </si>
  <si>
    <t xml:space="preserve">EPD nr.                                                                                                                                                                                                                                                                                                                                                                                                                                                                                                                                                                      Environmental product declaration.                            </t>
  </si>
  <si>
    <t>O</t>
  </si>
  <si>
    <t>EPD</t>
  </si>
  <si>
    <t>Her skal det oppgis EPD nr. så fremt det eksisterer. (https://www.epd-norge.no/?lang=no_NO)</t>
  </si>
  <si>
    <t xml:space="preserve">Her skal det oppgis miljømerke på produktet. Svane eller lignende </t>
  </si>
  <si>
    <t>Evaluering av tilbudene vil skje etter pris/kvalitet -absolutt metoden. Samlet pris på Kjernesortiment og tilleggskostnader for de som har lavest kvalitet. Dermed framkommer det en kostnad pr kvalitetspoeng. Lavest kostnad vinner. Se vedlegg</t>
  </si>
  <si>
    <t>WEB løsning(7%)</t>
  </si>
  <si>
    <t>reklamasjonsbeskrivelse 7(%)</t>
  </si>
  <si>
    <t>rapporteringsmuligheter (7%)</t>
  </si>
  <si>
    <t>Logistikk (9%)</t>
  </si>
  <si>
    <t>Miljø (10%)</t>
  </si>
  <si>
    <t xml:space="preserve">Det er satt opp prosentvis fordeling mellom de tre underpunktene i tildelingskriteriet kvalitet (21%) som omfatter WEB løsning- reklamsjonsbeskrivelse og rapporteringsmuligheter, logistikk (9%) og Miljø(10%).  WEB løsning med bestilling og oversikt over produkter som skal inngå i avtalen, reklamasjonsbeskrivelse og retur, -og rapporteringsmuligheter for endringer av utgåtte produkter som skal erstattes av nye produkter.                                                                                                                                                                                                                                                                                                                                                               . </t>
  </si>
  <si>
    <t>Renholdsrekvisita</t>
  </si>
  <si>
    <t>Rengjøringsmaskiner</t>
  </si>
  <si>
    <t>Renholdsmidler</t>
  </si>
  <si>
    <t>Avfallshåndtering</t>
  </si>
  <si>
    <t>Matter og sklisikring</t>
  </si>
  <si>
    <t>krt</t>
  </si>
  <si>
    <t>rll</t>
  </si>
  <si>
    <t>Tørk og hyggiene</t>
  </si>
  <si>
    <t>stk</t>
  </si>
  <si>
    <t xml:space="preserve"> Avfallsbeholder 20L hvit plast B2</t>
  </si>
  <si>
    <t>PLL</t>
  </si>
  <si>
    <t>skk</t>
  </si>
  <si>
    <t>BTT</t>
  </si>
  <si>
    <t>pk</t>
  </si>
  <si>
    <t>kan</t>
  </si>
  <si>
    <t xml:space="preserve"> Hånddesinfeksjon Clinical 75% 100ml (24)</t>
  </si>
  <si>
    <t xml:space="preserve"> Hånddesinfeksjon Des E H5 1L (6)</t>
  </si>
  <si>
    <t xml:space="preserve"> Hånddesinfeksjon 85% m/fliptop 1000ml (12)</t>
  </si>
  <si>
    <t xml:space="preserve"> Desinfeksjon spray Tendercare 750ml (6)</t>
  </si>
  <si>
    <t xml:space="preserve"> Automatdisp desinf/såpe Bag in Box</t>
  </si>
  <si>
    <t xml:space="preserve"> Disp hvitt metall gigantrull S m/lås</t>
  </si>
  <si>
    <t xml:space="preserve"> Disp stål lang hendel t/1000ml fl</t>
  </si>
  <si>
    <t xml:space="preserve"> Disp stål kort hendel m/bøyle t/1000ml</t>
  </si>
  <si>
    <t xml:space="preserve"> Disp plast håndtørk Towel hvit</t>
  </si>
  <si>
    <t xml:space="preserve"> Disp plast håndtørk M hvit</t>
  </si>
  <si>
    <t xml:space="preserve"> Disp plast for såpe 1000ml hvit</t>
  </si>
  <si>
    <t xml:space="preserve"> Hånddesinfeksjon 85% f/disp X 1000ml (6)</t>
  </si>
  <si>
    <t xml:space="preserve"> Hånddes Alcogel 85 refill 1L dispensopac (12)</t>
  </si>
  <si>
    <t>KRT</t>
  </si>
  <si>
    <t>Krt</t>
  </si>
  <si>
    <t xml:space="preserve"> Håndkrem 300ml Sumabless</t>
  </si>
  <si>
    <t>fl</t>
  </si>
  <si>
    <t xml:space="preserve"> Hånddesinfeksjon 700ml 85% Bag in Box (8)</t>
  </si>
  <si>
    <t xml:space="preserve"> Hånddesinfeksjon 750ml 85% flytende (15)</t>
  </si>
  <si>
    <t xml:space="preserve"> Papirkurv sort metall 335x280x235mm</t>
  </si>
  <si>
    <t xml:space="preserve"> Papirkurv sølv metall 335x280x235mm</t>
  </si>
  <si>
    <t>pos</t>
  </si>
  <si>
    <t>Nilfisk MH 4M-200/960 FA NO -Høytykksspyler</t>
  </si>
  <si>
    <t>Gulvvaskemaskin Sc351 komplet</t>
  </si>
  <si>
    <t>Gulvvasker SC1500 komplett</t>
  </si>
  <si>
    <t xml:space="preserve"> Overflatedesinfeksjon Blåtind 85% 1L</t>
  </si>
  <si>
    <t>Gulvstativ IntelliCare RAL9007</t>
  </si>
  <si>
    <t>avtørringsmatte 60-90 cm antrasitt</t>
  </si>
  <si>
    <t>Reservegummi 105cm til myk vindusnal (10)</t>
  </si>
  <si>
    <t>Vindus-og gulvskrape m/håndtak 10cm (10)</t>
  </si>
  <si>
    <r>
      <t xml:space="preserve">I prisskjemaene er det i noen grad benyttet merke- og produktnavn for å beskrive kvaliteter og egenskaper ved produktene. </t>
    </r>
    <r>
      <rPr>
        <sz val="12"/>
        <color rgb="FFFF0000"/>
        <rFont val="Calibri"/>
        <family val="2"/>
        <scheme val="minor"/>
      </rPr>
      <t>Dette må ikke forstås som et krav om levering av det navngitte merket.</t>
    </r>
    <r>
      <rPr>
        <sz val="12"/>
        <color theme="3"/>
        <rFont val="Calibri"/>
        <family val="2"/>
        <scheme val="minor"/>
      </rPr>
      <t xml:space="preserve"> Alle produkter med tilsvarende kvalitet og bruksegenskaper kan tilbys. Kolonne B og C er kjerne sortimentet av renholdsutstyr som forbrukes.</t>
    </r>
  </si>
  <si>
    <t>Handy HS higespeed maskin 17"</t>
  </si>
  <si>
    <t xml:space="preserve">nalgummikitt  370mm til Nilfik </t>
  </si>
  <si>
    <t>Motorscrubber Handy</t>
  </si>
  <si>
    <t>Moppekjøleskap K420LG</t>
  </si>
  <si>
    <t>Vaskemaskin Speed Queen SF 10 10kg 3-fas</t>
  </si>
  <si>
    <t>Fundament m/lokasse til CW 10Ipso</t>
  </si>
  <si>
    <t xml:space="preserve">Støvsuger Taski Og </t>
  </si>
  <si>
    <t>Skap ASHV 198x98x47cm</t>
  </si>
  <si>
    <t>Pedalbøtte 35L</t>
  </si>
  <si>
    <t>Absorbsjonsmatte blågrå 85x150 4,5</t>
  </si>
  <si>
    <t>Kombimatte m/bunn grå 90x150 nomade Aqua 65</t>
  </si>
  <si>
    <t>Rengjøringsvogn Medium</t>
  </si>
  <si>
    <t xml:space="preserve">krt </t>
  </si>
  <si>
    <t>Vannsuger, Taski vacumat 22 komplett</t>
  </si>
  <si>
    <t>Tepperenser, Puzzi 10/1</t>
  </si>
  <si>
    <t>Twister pad 17`-Grønn</t>
  </si>
  <si>
    <t>Twister pad 17`-Gul</t>
  </si>
  <si>
    <t>Twister pad 14` Grønn</t>
  </si>
  <si>
    <t>Twister pad 14` Gul</t>
  </si>
  <si>
    <r>
      <t xml:space="preserve">Varenummeret/artikkel nr. skal samsvare med forpakningsstørrelsen som tilbudet er basert på og som oppgis i kolonne H. Den skal </t>
    </r>
    <r>
      <rPr>
        <u/>
        <sz val="12"/>
        <color theme="3"/>
        <rFont val="Calibri"/>
        <family val="2"/>
        <scheme val="minor"/>
      </rPr>
      <t>helst</t>
    </r>
    <r>
      <rPr>
        <sz val="12"/>
        <color theme="3"/>
        <rFont val="Calibri"/>
        <family val="2"/>
        <scheme val="minor"/>
      </rPr>
      <t xml:space="preserve"> ikke være over årsforbruket</t>
    </r>
  </si>
  <si>
    <t xml:space="preserve"> Avf.pose LD 13my klar 60x60cm 35L (20 rll a 50 stk)</t>
  </si>
  <si>
    <t xml:space="preserve"> Engangsforkle 40my 90x15hvit flatpakket (5 pk*a 50 stk)</t>
  </si>
  <si>
    <t xml:space="preserve"> Håndsåpe flytende 800ml Fresh H1 (6 stk. pr. krt.)</t>
  </si>
  <si>
    <t xml:space="preserve"> Håndsåpe Klar 300ml (6 FL)</t>
  </si>
  <si>
    <t xml:space="preserve"> Håndsåpe 1L Natural (6 FL)</t>
  </si>
  <si>
    <t xml:space="preserve"> Håndsåpe flytende 1L Safe wash H2 (6 FL)</t>
  </si>
  <si>
    <t xml:space="preserve"> Vaskekrem flytende ekstra mild 800ml (6 FL)</t>
  </si>
  <si>
    <t xml:space="preserve"> Vaskekrem 800ml Soft Care Sensitive H22 (6 stk)</t>
  </si>
  <si>
    <t xml:space="preserve"> Tørkepapir Plus System M2 2lag hvit (6 RLL a 140 MTR.)</t>
  </si>
  <si>
    <t xml:space="preserve"> Papirhåndklær Plus 2lag One-Stop M2 low (21 pk a 144 ark)</t>
  </si>
  <si>
    <t xml:space="preserve"> Tørk Katrin S 2 perf 60m 214ark hylseløs (12 RLL a 60 MTR)</t>
  </si>
  <si>
    <t xml:space="preserve"> Senterrull Plus S 1lag u/hylse (12 RLL. a 110 MTR.)</t>
  </si>
  <si>
    <t xml:space="preserve"> Toa Katrin Classic Gig. S 2lag hvit 200m (12 RLL. A 200 MTR)</t>
  </si>
  <si>
    <t xml:space="preserve"> Toa Plus Toilet 360 2lag 50m hvit (7 pk a 6 RLL)</t>
  </si>
  <si>
    <t xml:space="preserve"> Toa Plus Toilet 360 2lag 50m hvit (105pk a 6 RLL)</t>
  </si>
  <si>
    <t xml:space="preserve"> Toa Katrin Plus Gigant S 2lag hvit 160m (12  RLL a 160 MTR,)</t>
  </si>
  <si>
    <t xml:space="preserve"> Toarll Mini Jumbo 1lag 240m T2 (12 RLL a 240 MTR.)</t>
  </si>
  <si>
    <t xml:space="preserve"> Tørkepapir Classic System M2 2lag hvit(6 RLL. A 170 MTR.)</t>
  </si>
  <si>
    <t xml:space="preserve"> Våtserviett overflatedes. 75% 300 stk</t>
  </si>
  <si>
    <t xml:space="preserve"> Senterrull Basic S 1lag u/hylse (12 RLL a 100 MTR.)</t>
  </si>
  <si>
    <t xml:space="preserve"> Håndsåpe Dispensopac uten parfyme 1L (6 stk. )</t>
  </si>
  <si>
    <t xml:space="preserve"> Disp håndsåpe Soft Care Line (1 stk)</t>
  </si>
  <si>
    <t xml:space="preserve"> Skumsåpe Soft Care Line 700ml (6 stk. a 700 ML. )</t>
  </si>
  <si>
    <t xml:space="preserve"> Tørkepapir Standard senterrull M2 (6 RLL a 275 MTR.)</t>
  </si>
  <si>
    <t xml:space="preserve"> Toa Classic System Toilet 800 hvit 2lag (36 RLL a 100 MTR.)</t>
  </si>
  <si>
    <t xml:space="preserve"> Håndsåpe 1000ml doseringskapsel (12 FL a 1000 ML)</t>
  </si>
  <si>
    <t xml:space="preserve"> Senterrull Classic S 1lag 116 m. u/hylse l (12 RLL a 116)</t>
  </si>
  <si>
    <t xml:space="preserve"> Toa Classic Toilet 200 2lag hvit 25m (8 pk a 8 RLL a 25 MTR )</t>
  </si>
  <si>
    <t xml:space="preserve"> Overflatedesinfeksjon 75% spray 750ml (6 fl a 750 ML)</t>
  </si>
  <si>
    <t xml:space="preserve"> Hånddesinf 700ml 85% Softgel bag in box (8 stk  a 700 ML)</t>
  </si>
  <si>
    <t xml:space="preserve"> Håndtørk Multifold H2 190ark (20 pk a 190 ark)</t>
  </si>
  <si>
    <t xml:space="preserve"> Hånddesinfeksjon Des E H5 1,3L (4 stk a 1,3 L)</t>
  </si>
  <si>
    <t xml:space="preserve"> Desinfeksjon Suma D4,12 750ml (6 FL a 750 ML)</t>
  </si>
  <si>
    <t xml:space="preserve"> Håndtørk Univ H5 410ark (12 pk a 410 ark)</t>
  </si>
  <si>
    <t xml:space="preserve"> Forkle plast 800x1400mm 30my hvit (1 Pk a 100 stk)</t>
  </si>
  <si>
    <t xml:space="preserve"> Overflatedesinfeksjon 75 1L( 12 FL. a 1 L.)</t>
  </si>
  <si>
    <t xml:space="preserve"> Håndsåpe Sunny Garden 1L (6 FL, a 1 L)</t>
  </si>
  <si>
    <t>i antall pr. MTR, pr ark eller stk.</t>
  </si>
  <si>
    <t xml:space="preserve"> Disp plast Toiletpapir hvit</t>
  </si>
  <si>
    <t xml:space="preserve"> Engangshanske latex L upudret  ( 1 a 100)</t>
  </si>
  <si>
    <t xml:space="preserve"> Engangshanske vinyl S upudret klar  ( 1 a 100)</t>
  </si>
  <si>
    <t xml:space="preserve"> Engangshanske nitril M upudret hvit (1 a 200)</t>
  </si>
  <si>
    <t xml:space="preserve"> Engangshanske nitril L upudret hvit (1 a 200)</t>
  </si>
  <si>
    <t xml:space="preserve"> Engangshanske nitril M og L upudret blå (1 a 200)</t>
  </si>
  <si>
    <t xml:space="preserve"> Engangshanske vinyl M upudret klar (1 a 100)</t>
  </si>
  <si>
    <t xml:space="preserve"> Engangshanske latex S upudret (1 a 100)</t>
  </si>
  <si>
    <t xml:space="preserve"> Engangshanske Vinylex L upudret klar (1 a 100)</t>
  </si>
  <si>
    <t>MTR</t>
  </si>
  <si>
    <t>STK</t>
  </si>
  <si>
    <t>ark</t>
  </si>
  <si>
    <t>Liter</t>
  </si>
  <si>
    <t>i en Enhet av</t>
  </si>
  <si>
    <t>Stk</t>
  </si>
  <si>
    <t>stk.</t>
  </si>
  <si>
    <t xml:space="preserve"> Hånddesinfeksjon 85% 4L ( 3 a 4 L.)</t>
  </si>
  <si>
    <t>liter</t>
  </si>
  <si>
    <t xml:space="preserve"> Vaskeklut myk 30x19cm 135stk Tork (8 pk a 135 stk)</t>
  </si>
  <si>
    <t>Stk.</t>
  </si>
  <si>
    <t xml:space="preserve">Stk. </t>
  </si>
  <si>
    <t>Microfiberm/borrelås 25cm (5 stk)</t>
  </si>
  <si>
    <t>Feiesett m/langt skaft/metallbrett Miss Clean (10 stk)</t>
  </si>
  <si>
    <t xml:space="preserve"> Avf.pose LD 12my hvit 60x90cm 50L (20 RLL a 25 pr rull)</t>
  </si>
  <si>
    <t xml:space="preserve"> Avf.pose LD 12my hvit 60x60cm 35L (20 RLL a 50 stk )</t>
  </si>
  <si>
    <t xml:space="preserve"> Avf.pose Biomat 17my 35L 380/200x710mm ( 1RLL a 40 stk)</t>
  </si>
  <si>
    <t xml:space="preserve"> Avf.pose knyt Biomat 14my 10L 420x510mm (16 RLL a 20 stk)</t>
  </si>
  <si>
    <t xml:space="preserve"> Avf.pose Biomat 17my 30L 260/250x570mm ( 1 RLL a 10 stk)</t>
  </si>
  <si>
    <t xml:space="preserve"> Avf.sekk LD klar Coex std 72x112cm 100L (15 RLL a 10 stk)</t>
  </si>
  <si>
    <t xml:space="preserve"> Avf.sekk LD klar Coex knyt 75x125cm 100 L K2 (20 RLL a 10 stk)</t>
  </si>
  <si>
    <t xml:space="preserve"> Biobag grønn 420x540mm 20L (18 RLL a 20 pos)</t>
  </si>
  <si>
    <t xml:space="preserve"> kg</t>
  </si>
  <si>
    <t>kg</t>
  </si>
  <si>
    <t>Vaskepolish Taski Jontec Extra 5L ( 2 KAN a 5 L)</t>
  </si>
  <si>
    <t>Maskinoppvasktab. 80stk Tender Carte (1 pk a 80 stk)</t>
  </si>
  <si>
    <t>Grovrengjøring Sprint Spitfire 750ml Taski ( 6 fl. a 750 ML)</t>
  </si>
  <si>
    <t>Klisterfjerner Jontec Resin Remover Taski ( 2 KAN a 5 L)</t>
  </si>
  <si>
    <t>Gulvpolish Taski Tensol (2 KAN a 5 L)</t>
  </si>
  <si>
    <t>Storfix 5L (3 KAN a 5 L)</t>
  </si>
  <si>
    <t>Skumrengjøring Suma Gel D30 5kg ( 3 KAN a 5 kg)</t>
  </si>
  <si>
    <t>Sumagel Klor D34 4,5L ( KAN a 4,5 L)</t>
  </si>
  <si>
    <t>Antall i salgs-pakning-  skal ikke overstige årsforbruk i antall i kolonne F</t>
  </si>
  <si>
    <t>Innkjøpspris u/ påslag per enhet jf. Kolonne G stk, MTR, liter, ark etc.</t>
  </si>
  <si>
    <t>ikke i bruk pga, stk</t>
  </si>
  <si>
    <t>ikke i bruk pga. stk</t>
  </si>
  <si>
    <t>Der det ikke er oppgitt varenummer må det oppgis hvilket varenummer det gis tilbud på, for å sjekke datablad til produktet. kan også fylles inn vare nr. i kolonne H eller I sammen med produkt nr. eller produkt navn. Miljøstatus til produkter skal oppgis om det er svanemerket eller tilsvarende i kollone P. kollone Q er EPD nr. (Enviromental Product Declaration)( https://www.epd-norge.no/?lang=no_NO)</t>
  </si>
  <si>
    <t xml:space="preserve">Prisskjema er inndelt i ulike kategorier av ulike renholdsutstyr, renholdsmaskiner og tilbehør. </t>
  </si>
  <si>
    <t xml:space="preserve">  i  antall </t>
  </si>
  <si>
    <t>I</t>
  </si>
  <si>
    <t>P</t>
  </si>
  <si>
    <t>Q</t>
  </si>
  <si>
    <t>i enhet av</t>
  </si>
  <si>
    <t>I antall pr. MTR, pr.ark, Liter, kg eller stk. Vi omregninger ikke der enheten er 0,8 liter f,eks- da er det stk. pris vi er ute etter. Her står det årsforbruk i antall enheter som står i kolonne G</t>
  </si>
  <si>
    <t>Det stipulerte årsforbruket gjelder for hele Vågan kommune konsern og kalkulert forbruk for Vågan kommune og er basert på historiske tall og budsjettvedtak for 2020. Det kan variere fra år til år med bakgrunn i budsjett og aktivitet. Det skal oppgis maks et års forbruk på pakningstørrelsen- om mulig- om ikke, skal minste forbrukspakning legges inn.  Oppdragsgiver forplikter seg i midlertid ikke til tilsvarende uttak i neste avtaleperiode. Produkter under kr 500.- er tatt ut fra statistikk og er ikke med i beregningen av årsforbruk</t>
  </si>
  <si>
    <t>Tilbudspris på årsvolum/forbruk</t>
  </si>
  <si>
    <t>Tilbudsprisen på salgspakning regnes automatisk ut (innkjøps pris + påslag), Her er vi ute enhetspris jf kolonne G. Denne kolonnen gir summen som evalueres på hovedsiden.</t>
  </si>
  <si>
    <t>Innkjøpspris</t>
  </si>
  <si>
    <t xml:space="preserve">Her er vi ute etter innkjøpspris uten påslag per enhet jf. kolonne G i Stk, MTR, Ark, Liter osv. En enhetsberegning for å sammenligne tilbudene. Er det f.eks 10 enheter i forpakningen er vi ute etter hva en enhet koster i forpaknignen jf. kolonne K- og ikke 10 enheter i forpakningen. </t>
  </si>
  <si>
    <t>Det er benyttet entydige enheter som Stk, Meter, Par, pakke, Forbrukerpakning, krt osv.  Som omregnes til antall enhet i kolonne F.</t>
  </si>
  <si>
    <t xml:space="preserve">Årsforbruket i kolonne D eller F ( årsak; Er at der enheten er oppgitt i stk- er det ikke nødvendig med omregning) er i noen tilfeller oppgitt som kg, liter, ark, stk eller MTR  osv. For å kunne utligne eventuelt større forskjeller i salgspakningenes må stk, kilo, liter osv på salgspakning oppgis. Det skal ikke oppgis større antall i forpakningen en årsforbruket. </t>
  </si>
  <si>
    <t>påslag på innkjøpspris</t>
  </si>
  <si>
    <t>Her er vi ute etter en enhetsberegning for å sammenligne tilbudene. Er det f.eks 10 enheter i forpakningen er vi ute etter hva en enhet koster i kolonne K- og ikke 10 enheter i forpakningen. Her er oppgitt hva vi beregner enhet som stk, ark, 1 liter, 1 kg eller 1 MTR. Får vi forskejllige antall meter pr rull vil dette utlignes, slik at det er pr MTR. som teller og ikke RLL.</t>
  </si>
  <si>
    <r>
      <t>I tillegg skal det også gis påslag på øvrige varer som faller inn under de etterspurte varegruppene. Påslaget oppgis på hovedsiden i dette regnearket cellene E6 til E11. Tilbyderne skal sende inn sine  innkjøpspriser på varer som faller inn under de etterspurte varegruppene.</t>
    </r>
    <r>
      <rPr>
        <sz val="12"/>
        <color rgb="FFFFFF00"/>
        <rFont val="Calibri"/>
        <family val="2"/>
        <scheme val="minor"/>
      </rPr>
      <t xml:space="preserve"> </t>
    </r>
    <r>
      <rPr>
        <sz val="12"/>
        <color rgb="FF000000"/>
        <rFont val="Calibri"/>
        <family val="2"/>
        <scheme val="minor"/>
      </rPr>
      <t xml:space="preserve">Oppdragsgiver vil påse at bare sammenlignbare varer og forpakningsstørrelser blir tatt med. </t>
    </r>
  </si>
  <si>
    <t xml:space="preserve">Tilbudsprisene summeres og summen som vil bli benyttet i oversikt over tilbudskriteriet pris på årsforbruk. </t>
  </si>
  <si>
    <t>SET</t>
  </si>
  <si>
    <t xml:space="preserve"> Toa Plus System Toilet 680 hvit 2lag</t>
  </si>
  <si>
    <t>RLL</t>
  </si>
  <si>
    <t xml:space="preserve"> Avf.pose HD 7my hvit 60x60cm 35L</t>
  </si>
  <si>
    <t xml:space="preserve"> Avf.sekk LD 50my sort 72x112cm 100L</t>
  </si>
  <si>
    <t>PK</t>
  </si>
  <si>
    <t>Fl/stk</t>
  </si>
  <si>
    <t xml:space="preserve"> Papirhåndklær Plus 2lag One-Stop M2 low</t>
  </si>
  <si>
    <t xml:space="preserve"> Disp plast for såpe 1000ml sport Katrin</t>
  </si>
  <si>
    <t xml:space="preserve"> Disp plast håndtørk M sort Katrin</t>
  </si>
  <si>
    <t xml:space="preserve"> Tørkepapir Plus System M2 2lag hvit (120 a 140)</t>
  </si>
  <si>
    <t xml:space="preserve"> Overflatedesinfeksjon 75% 4L (3 kan a 4 L. )</t>
  </si>
  <si>
    <t>Nilfisk gulvaskemaskin</t>
  </si>
  <si>
    <t>Vaskemaskin 62V m/ventil 6kg</t>
  </si>
  <si>
    <t>Aluskaft 1500mm sort</t>
  </si>
  <si>
    <t>Aluskaft m/hvit topp 1505mm (10 stk)</t>
  </si>
  <si>
    <t>Blandingsmopp 200g 60cm m/lom og hempe</t>
  </si>
  <si>
    <t>Blandingsmopp m/lomme 60cm (100)</t>
  </si>
  <si>
    <t>Bøtte 6L rekt. grå m/blå hank</t>
  </si>
  <si>
    <t>Engangsmopp fuktig Uniq (5 pk a 12 stk)</t>
  </si>
  <si>
    <t>Gulvnal m/sort gummi 40cm hvit (10)</t>
  </si>
  <si>
    <t>Gulvnal m/sort gummi 50cm hvit (10)</t>
  </si>
  <si>
    <t>Gulvnal stål m/dbl myk gummi 55cm</t>
  </si>
  <si>
    <t>Gulvstativ for industripapir</t>
  </si>
  <si>
    <t>Jif Engangsvåtmopp Allrent 40cm (8 pk a 10)</t>
  </si>
  <si>
    <t>Lavtrykkssprøyte 1L Liva</t>
  </si>
  <si>
    <t>Mikrofiberklut 40x40cm rosa sanitær (5)</t>
  </si>
  <si>
    <t>Mikrofiberklut Tendercare 32x32cm blå (10)</t>
  </si>
  <si>
    <t>Mikrofiberklut Tendercare 32x32cm rød (10)</t>
  </si>
  <si>
    <t>Mikrofibermopp m/borrelås 60cm Duotex (5 stk)</t>
  </si>
  <si>
    <t>Mikrofibermopp Millentex 60cm m/lomme (10)</t>
  </si>
  <si>
    <t>Moppestativ 25cm Ultra pluss</t>
  </si>
  <si>
    <t>Moppestativ 60cm blå m/fotpedal</t>
  </si>
  <si>
    <t>Sanitetsbindholder m/lokk 5L sort B3</t>
  </si>
  <si>
    <t>Sprayflaske rød/blå 0,5L Liva (4 stk)</t>
  </si>
  <si>
    <t>Støvkost ull teleskop 68-104cm</t>
  </si>
  <si>
    <t>Støvsugerpose til VU500 (10)</t>
  </si>
  <si>
    <t>Støvsugerposer papir til Taski Og (1 pk a 10 stk)</t>
  </si>
  <si>
    <t>Teleskopskaft 100-170cm Ultra pluss</t>
  </si>
  <si>
    <t>Teleskopskaft 100-180cm glatt overflate</t>
  </si>
  <si>
    <t>Toalettbørste enkel m/holder hvit</t>
  </si>
  <si>
    <t>Toalettbørste Tendercare m/holder hvit ( 8 stk)</t>
  </si>
  <si>
    <t>Toolflex holder  til skaft ø20-30mm</t>
  </si>
  <si>
    <t>Vaskeklut Adv pk a 120ark 25x19cm</t>
  </si>
  <si>
    <t>Vernedress 4515 5/6 str L hvit usteril</t>
  </si>
  <si>
    <t>Dagligrent 1L m/parfyme Tendercare (12 a 1 L)</t>
  </si>
  <si>
    <t>Dagligrent 1L u/parfyme Tendercare (12 fl a 1 L)</t>
  </si>
  <si>
    <t>Dagligrent Uni spray 750ml Tendercare (10)</t>
  </si>
  <si>
    <t>Desinfeksjon Suma D4,12 750ml (6)</t>
  </si>
  <si>
    <t>Glasspray 750ml Tendercare (10 a 750 ML)</t>
  </si>
  <si>
    <t>Grovrent 1L Tendercare</t>
  </si>
  <si>
    <t>Grønnsåpe Bonzo 5kg (3 kan a 5 kg)</t>
  </si>
  <si>
    <t>Hånddesinfeksjon 85% 500ml gel (12)</t>
  </si>
  <si>
    <t>Hånddesinfeksjon 85% f/disp X 1000ml</t>
  </si>
  <si>
    <t>Hånddesinfeksjon 85% m/fliptop 1000ml (12)</t>
  </si>
  <si>
    <t>Hånddesinfeksjon Clinical 75% 100ml (24)</t>
  </si>
  <si>
    <t>Hånddesinfeksjon Des E H5 1,3L (4)</t>
  </si>
  <si>
    <t>Håndsåpe flytende 1L Safe wash H2 (6)</t>
  </si>
  <si>
    <t>Håndsåpe flytende 800ml Fresh H1 (6 a 800 ml)</t>
  </si>
  <si>
    <t>Håndsåpe Klar 300ml</t>
  </si>
  <si>
    <t>Håndsåpe Sunny Garden 1L</t>
  </si>
  <si>
    <t>I-Vax 5L (3 KAN a 5 L)</t>
  </si>
  <si>
    <t>Jif skurekrem 500ml (16 fl a 500 ML)</t>
  </si>
  <si>
    <t>Jif skurekrem sitron 500ml (16)</t>
  </si>
  <si>
    <t>Klorin 750ml (12 fl. A 750 ml)</t>
  </si>
  <si>
    <t>Luftfrisker 0,75L Room Care R5 (6 fl a 750 ML)</t>
  </si>
  <si>
    <t>Maskinoppvask Suma L46 10L (1 stk)</t>
  </si>
  <si>
    <t>Maskinoppvaskpulver 2,6kg Sun Extra Pow. (4 stk a 2,6 kg)</t>
  </si>
  <si>
    <t>Mikrofibervask OMO Prof 1M 25kg</t>
  </si>
  <si>
    <t>Oppvaskmiddel Zalo Ultra 5L(3 kan)</t>
  </si>
  <si>
    <t>Oppvaskmiddel Zalo Ultra 750ml (15)</t>
  </si>
  <si>
    <t>Overflatedesinfeksjon 75 1L (12)</t>
  </si>
  <si>
    <t>Overflatedesinfeksjon 75% 4L</t>
  </si>
  <si>
    <t>Pussepapir Basic L1200 1lag 7,1kg 1230m ( 1RLL a 1230 MTR)</t>
  </si>
  <si>
    <t>Rengjøring Storfix 1L (12 stk a 1 L))</t>
  </si>
  <si>
    <t>Rengjøring Storfix 1L u/parfyme (12 stk a 1 L.)</t>
  </si>
  <si>
    <t>Rengjøring TaskiJontec 300 Free ID2x1,5L (2 pos a 1,5 L)</t>
  </si>
  <si>
    <t>Sanitærrengj. sur Clonet Pur-Eco 750ml (6)</t>
  </si>
  <si>
    <t>Sanitærrent alk 1L m/parfyme Tendercare (12 fl a 1 L.)</t>
  </si>
  <si>
    <t>Sanitærrent sur 1L u/parfyme Tendercare (12 fl a 1 L)</t>
  </si>
  <si>
    <t>Svamp til såpefri flekkfjerning (10)</t>
  </si>
  <si>
    <t>Toalettrens 750ml Tendercare (10 fl a 750 ML)</t>
  </si>
  <si>
    <t>Tørremiddel Suma A7 5kg (3 kan a 5 kg)</t>
  </si>
  <si>
    <t>Tøymykner Blenda sensitiv 5L</t>
  </si>
  <si>
    <t>Tøyvask color 5kg Tendercare</t>
  </si>
  <si>
    <t>Tøyvask hvit 5kg Tendercare</t>
  </si>
  <si>
    <t>Dørmatte black steel 85x150cm</t>
  </si>
  <si>
    <t>Avlastningsmatte 65x45cm grå 21mm</t>
  </si>
  <si>
    <t xml:space="preserve"> Håndesinfeksjon  150ml  85% softgel ( 24 FL.)</t>
  </si>
  <si>
    <t xml:space="preserve"> Disp plast toa.papir sort Katrin</t>
  </si>
  <si>
    <t xml:space="preserve"> Disp stativ skum/såpe/sprit</t>
  </si>
  <si>
    <t xml:space="preserve"> Engangshanske latex M Upudret ( 1 a 100)</t>
  </si>
  <si>
    <t xml:space="preserve"> Overflatedesinf.skumspray 750ml alkoholfri ( 6 FL. A 750 ML)</t>
  </si>
  <si>
    <t xml:space="preserve"> Skumsåpe 1000ml Natural/Foam Katrin (6 stk a 1 L.)</t>
  </si>
  <si>
    <t xml:space="preserve"> Toaletpapirl Mid-Size myk 21  T6 premium (27 RLL. A 90 MTR.)</t>
  </si>
  <si>
    <t xml:space="preserve"> Munnbind med ørestrikk type II  (50)</t>
  </si>
  <si>
    <t>405599/405600</t>
  </si>
  <si>
    <t>Prisskjemaet har 6 produktfaner med til sammen 203 varelinjer med 176 produkter- 3 varelinjer går ut. I tillegg består regnearket av en hovedside, denne veiledningen og en oversikt over de kriteriene som vil bli lagt til grunn for evaluering.</t>
  </si>
  <si>
    <t xml:space="preserve">På hovedsiden skal de generelle påslagene som vil bli brukt til å beregne verdien av en handlekurv med et estimert årsforbruket av 203 produkter. Pris på varene regnes ut fra de tilsendte prislistene og summert med påslag.  </t>
  </si>
  <si>
    <t xml:space="preserve">For å gi tilbudspris på kjernesortiment er det plukket ut 203 produkter. Det skal oppgis  varenummer, varenavn,  forpakningsstørrelse, innkjøpspris pr enhet (ikke forpakning) og  pluss påslag av innkjøpspris i % som gir tilbudspris på produktet DDP Vågan kommune.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</si>
</sst>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quot;kr&quot;\ * #,##0.00_ ;_ &quot;kr&quot;\ * \-#,##0.00_ ;_ &quot;kr&quot;\ * &quot;-&quot;??_ ;_ @_ "/>
    <numFmt numFmtId="165" formatCode="_ [$kr-414]\ * #,##0.00_ ;_ [$kr-414]\ * \-#,##0.00_ ;_ [$kr-414]\ * &quot;-&quot;??_ ;_ @_ "/>
    <numFmt numFmtId="166" formatCode="0.000"/>
    <numFmt numFmtId="167" formatCode="_ &quot;kr&quot;\ * #,##0_ ;_ &quot;kr&quot;\ * \-#,##0_ ;_ &quot;kr&quot;\ * &quot;-&quot;??_ ;_ @_ "/>
    <numFmt numFmtId="168" formatCode="_-[$kr-414]\ * #,##0.00_-;\-[$kr-414]\ * #,##0.00_-;_-[$kr-414]\ * &quot;-&quot;??_-;_-@_-"/>
    <numFmt numFmtId="169" formatCode="[$-414]General"/>
    <numFmt numFmtId="170" formatCode="[$-414]#,##0"/>
    <numFmt numFmtId="171" formatCode="&quot; kr &quot;#,##0.00&quot; &quot;;&quot; kr -&quot;#,##0.00&quot; &quot;;&quot; kr -&quot;#&quot; &quot;;@&quot; &quot;"/>
    <numFmt numFmtId="172" formatCode="_-[$kr-414]\ * #,##0.0_-;\-[$kr-414]\ * #,##0.0_-;_-[$kr-414]\ * &quot;-&quot;?_-;_-@_-"/>
    <numFmt numFmtId="173" formatCode="_-&quot;kr&quot;\ * #,##0.0_-;\-&quot;kr&quot;\ * #,##0.0_-;_-&quot;kr&quot;\ * &quot;-&quot;?_-;_-@_-"/>
    <numFmt numFmtId="174" formatCode="#,##0.0"/>
    <numFmt numFmtId="175" formatCode="_-* #,##0_-;\-* #,##0_-;_-* &quot;-&quot;??_-;_-@_-"/>
  </numFmts>
  <fonts count="59" x14ac:knownFonts="1">
    <font>
      <sz val="11"/>
      <color theme="1"/>
      <name val="Calibri"/>
      <family val="2"/>
      <scheme val="minor"/>
    </font>
    <font>
      <sz val="11"/>
      <color theme="0"/>
      <name val="Calibri"/>
      <family val="2"/>
      <scheme val="minor"/>
    </font>
    <font>
      <sz val="12"/>
      <color theme="1"/>
      <name val="Calibri"/>
      <family val="2"/>
      <scheme val="minor"/>
    </font>
    <font>
      <sz val="8"/>
      <name val="Arial"/>
      <family val="2"/>
    </font>
    <font>
      <b/>
      <sz val="16"/>
      <color theme="1"/>
      <name val="Calibri"/>
      <family val="2"/>
      <scheme val="minor"/>
    </font>
    <font>
      <u/>
      <sz val="11"/>
      <color theme="10"/>
      <name val="Calibri"/>
      <family val="2"/>
      <scheme val="minor"/>
    </font>
    <font>
      <b/>
      <sz val="18"/>
      <color theme="1"/>
      <name val="Calibri"/>
      <family val="2"/>
      <scheme val="minor"/>
    </font>
    <font>
      <b/>
      <sz val="16"/>
      <color theme="4" tint="-0.249977111117893"/>
      <name val="Calibri"/>
      <family val="2"/>
      <scheme val="minor"/>
    </font>
    <font>
      <sz val="11"/>
      <color theme="1"/>
      <name val="Calibri"/>
      <family val="2"/>
      <scheme val="minor"/>
    </font>
    <font>
      <sz val="12"/>
      <color indexed="8"/>
      <name val="Calibri"/>
      <family val="2"/>
    </font>
    <font>
      <sz val="12"/>
      <color indexed="9"/>
      <name val="Calibri"/>
      <family val="2"/>
    </font>
    <font>
      <sz val="11"/>
      <name val="Arial"/>
      <family val="2"/>
    </font>
    <font>
      <b/>
      <sz val="11"/>
      <name val="Arial"/>
      <family val="2"/>
    </font>
    <font>
      <sz val="12"/>
      <color indexed="8"/>
      <name val="Arial"/>
      <family val="2"/>
    </font>
    <font>
      <sz val="12"/>
      <color indexed="9"/>
      <name val="Arial"/>
      <family val="2"/>
    </font>
    <font>
      <b/>
      <sz val="11"/>
      <color theme="1"/>
      <name val="Calibri"/>
      <family val="2"/>
      <scheme val="minor"/>
    </font>
    <font>
      <b/>
      <sz val="12"/>
      <name val="Calibri"/>
      <family val="2"/>
      <scheme val="minor"/>
    </font>
    <font>
      <b/>
      <sz val="12"/>
      <color theme="1"/>
      <name val="Calibri"/>
      <family val="2"/>
      <scheme val="minor"/>
    </font>
    <font>
      <b/>
      <sz val="14"/>
      <color theme="1"/>
      <name val="Calibri"/>
      <family val="2"/>
      <scheme val="minor"/>
    </font>
    <font>
      <b/>
      <sz val="14"/>
      <color indexed="8"/>
      <name val="Calibri"/>
      <family val="2"/>
      <scheme val="minor"/>
    </font>
    <font>
      <sz val="18"/>
      <color theme="1"/>
      <name val="Calibri"/>
      <family val="2"/>
      <scheme val="minor"/>
    </font>
    <font>
      <sz val="20"/>
      <color theme="1"/>
      <name val="Calibri"/>
      <family val="2"/>
      <scheme val="minor"/>
    </font>
    <font>
      <sz val="22"/>
      <color theme="0"/>
      <name val="Calibri"/>
      <family val="2"/>
      <scheme val="minor"/>
    </font>
    <font>
      <b/>
      <sz val="28"/>
      <color theme="0"/>
      <name val="Calibri"/>
      <family val="2"/>
      <scheme val="minor"/>
    </font>
    <font>
      <sz val="12"/>
      <color rgb="FF000000"/>
      <name val="Calibri"/>
      <family val="2"/>
      <scheme val="minor"/>
    </font>
    <font>
      <b/>
      <sz val="18"/>
      <color rgb="FF000000"/>
      <name val="Calibri"/>
      <family val="2"/>
      <scheme val="minor"/>
    </font>
    <font>
      <b/>
      <sz val="12"/>
      <color theme="1"/>
      <name val="Arial"/>
      <family val="2"/>
    </font>
    <font>
      <sz val="12"/>
      <color theme="1"/>
      <name val="Arial"/>
      <family val="2"/>
    </font>
    <font>
      <b/>
      <sz val="12"/>
      <name val="Arial"/>
      <family val="2"/>
    </font>
    <font>
      <sz val="11"/>
      <color theme="1"/>
      <name val="Arial"/>
      <family val="2"/>
    </font>
    <font>
      <b/>
      <sz val="11"/>
      <color theme="1"/>
      <name val="Arial"/>
      <family val="2"/>
    </font>
    <font>
      <sz val="11"/>
      <color indexed="8"/>
      <name val="Arial"/>
      <family val="2"/>
    </font>
    <font>
      <sz val="11"/>
      <color indexed="9"/>
      <name val="Arial"/>
      <family val="2"/>
    </font>
    <font>
      <b/>
      <sz val="10"/>
      <color theme="1"/>
      <name val="Calibri"/>
      <family val="2"/>
      <scheme val="minor"/>
    </font>
    <font>
      <b/>
      <sz val="11"/>
      <color theme="3"/>
      <name val="Calibri"/>
      <family val="2"/>
      <scheme val="minor"/>
    </font>
    <font>
      <b/>
      <sz val="16"/>
      <color theme="3"/>
      <name val="Calibri"/>
      <family val="2"/>
      <scheme val="minor"/>
    </font>
    <font>
      <sz val="12"/>
      <color theme="3"/>
      <name val="Calibri"/>
      <family val="2"/>
      <scheme val="minor"/>
    </font>
    <font>
      <sz val="12"/>
      <color rgb="FFFF0000"/>
      <name val="Calibri"/>
      <family val="2"/>
      <scheme val="minor"/>
    </font>
    <font>
      <b/>
      <sz val="14"/>
      <name val="Arial"/>
      <family val="2"/>
    </font>
    <font>
      <sz val="12"/>
      <color rgb="FFFFFF00"/>
      <name val="Calibri"/>
      <family val="2"/>
      <scheme val="minor"/>
    </font>
    <font>
      <sz val="11"/>
      <color rgb="FFFFFFFF"/>
      <name val="Calibri"/>
      <family val="2"/>
    </font>
    <font>
      <sz val="11"/>
      <color rgb="FF000000"/>
      <name val="Calibri"/>
      <family val="2"/>
    </font>
    <font>
      <sz val="12"/>
      <color rgb="FF000000"/>
      <name val="Times New Roman"/>
      <family val="1"/>
    </font>
    <font>
      <sz val="12"/>
      <name val="Calibri"/>
      <family val="2"/>
      <scheme val="minor"/>
    </font>
    <font>
      <sz val="14"/>
      <color theme="0"/>
      <name val="Times New Roman"/>
      <family val="1"/>
    </font>
    <font>
      <sz val="12"/>
      <color theme="1"/>
      <name val="Times New Roman"/>
      <family val="1"/>
    </font>
    <font>
      <sz val="12"/>
      <name val="Times New Roman"/>
      <family val="1"/>
    </font>
    <font>
      <b/>
      <sz val="12"/>
      <color theme="1"/>
      <name val="Times New Roman"/>
      <family val="1"/>
    </font>
    <font>
      <b/>
      <sz val="12"/>
      <color rgb="FF000000"/>
      <name val="Times New Roman"/>
      <family val="1"/>
    </font>
    <font>
      <sz val="8"/>
      <name val="Calibri"/>
      <family val="2"/>
      <scheme val="minor"/>
    </font>
    <font>
      <b/>
      <i/>
      <sz val="12"/>
      <color theme="1"/>
      <name val="Times New Roman"/>
      <family val="1"/>
    </font>
    <font>
      <i/>
      <sz val="11"/>
      <color theme="1"/>
      <name val="Arial"/>
      <family val="2"/>
    </font>
    <font>
      <i/>
      <sz val="11"/>
      <color theme="1"/>
      <name val="Calibri"/>
      <family val="2"/>
      <scheme val="minor"/>
    </font>
    <font>
      <b/>
      <sz val="11"/>
      <color theme="4"/>
      <name val="Calibri"/>
      <family val="2"/>
      <scheme val="minor"/>
    </font>
    <font>
      <sz val="11"/>
      <color theme="4"/>
      <name val="Calibri"/>
      <family val="2"/>
      <scheme val="minor"/>
    </font>
    <font>
      <sz val="12"/>
      <color rgb="FF363636"/>
      <name val="Times New Roman"/>
      <family val="1"/>
    </font>
    <font>
      <i/>
      <sz val="12"/>
      <color rgb="FF000000"/>
      <name val="Times New Roman"/>
      <family val="1"/>
    </font>
    <font>
      <u/>
      <sz val="12"/>
      <color theme="3"/>
      <name val="Calibri"/>
      <family val="2"/>
      <scheme val="minor"/>
    </font>
    <font>
      <b/>
      <sz val="12"/>
      <color theme="0"/>
      <name val="Times New Roman"/>
      <family val="1"/>
    </font>
  </fonts>
  <fills count="23">
    <fill>
      <patternFill patternType="none"/>
    </fill>
    <fill>
      <patternFill patternType="gray125"/>
    </fill>
    <fill>
      <patternFill patternType="solid">
        <fgColor theme="4"/>
      </patternFill>
    </fill>
    <fill>
      <patternFill patternType="solid">
        <fgColor indexed="49"/>
      </patternFill>
    </fill>
    <fill>
      <patternFill patternType="solid">
        <fgColor theme="8"/>
      </patternFill>
    </fill>
    <fill>
      <patternFill patternType="solid">
        <fgColor theme="0" tint="-4.9989318521683403E-2"/>
        <bgColor theme="4" tint="0.59999389629810485"/>
      </patternFill>
    </fill>
    <fill>
      <patternFill patternType="solid">
        <fgColor indexed="43"/>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C0C0C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6EFCE"/>
      </patternFill>
    </fill>
    <fill>
      <patternFill patternType="solid">
        <fgColor theme="3" tint="0.59999389629810485"/>
        <bgColor indexed="64"/>
      </patternFill>
    </fill>
    <fill>
      <patternFill patternType="solid">
        <fgColor rgb="FF4F81BD"/>
        <bgColor rgb="FF4F81BD"/>
      </patternFill>
    </fill>
    <fill>
      <patternFill patternType="solid">
        <fgColor rgb="FF558ED5"/>
        <bgColor rgb="FF558ED5"/>
      </patternFill>
    </fill>
    <fill>
      <patternFill patternType="solid">
        <fgColor rgb="FFFFFFFF"/>
        <bgColor indexed="64"/>
      </patternFill>
    </fill>
    <fill>
      <patternFill patternType="solid">
        <fgColor rgb="FFF5F5F5"/>
        <bgColor indexed="64"/>
      </patternFill>
    </fill>
    <fill>
      <patternFill patternType="solid">
        <fgColor theme="3" tint="0.39997558519241921"/>
        <bgColor indexed="65"/>
      </patternFill>
    </fill>
    <fill>
      <patternFill patternType="solid">
        <fgColor theme="3" tint="0.39997558519241921"/>
        <bgColor rgb="FF4F81BD"/>
      </patternFill>
    </fill>
    <fill>
      <patternFill patternType="solid">
        <fgColor rgb="FF66FF99"/>
        <bgColor indexed="64"/>
      </patternFill>
    </fill>
  </fills>
  <borders count="34">
    <border>
      <left/>
      <right/>
      <top/>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18"/>
      </top>
      <bottom style="thin">
        <color indexed="18"/>
      </bottom>
      <diagonal/>
    </border>
    <border>
      <left style="thin">
        <color indexed="18"/>
      </left>
      <right/>
      <top/>
      <bottom style="thin">
        <color indexed="18"/>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medium">
        <color theme="4" tint="0.39997558519241921"/>
      </bottom>
      <diagonal/>
    </border>
    <border>
      <left/>
      <right/>
      <top style="medium">
        <color theme="4" tint="0.39997558519241921"/>
      </top>
      <bottom style="medium">
        <color theme="4" tint="0.39997558519241921"/>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18"/>
      </left>
      <right/>
      <top style="thin">
        <color indexed="18"/>
      </top>
      <bottom style="thin">
        <color indexed="18"/>
      </bottom>
      <diagonal/>
    </border>
    <border>
      <left style="thin">
        <color rgb="FF000000"/>
      </left>
      <right style="thin">
        <color rgb="FF000000"/>
      </right>
      <top/>
      <bottom style="thin">
        <color rgb="FF000000"/>
      </bottom>
      <diagonal/>
    </border>
    <border>
      <left/>
      <right/>
      <top/>
      <bottom style="thin">
        <color indexed="18"/>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indexed="64"/>
      </right>
      <top style="thin">
        <color indexed="64"/>
      </top>
      <bottom/>
      <diagonal/>
    </border>
    <border>
      <left/>
      <right/>
      <top style="thin">
        <color indexed="18"/>
      </top>
      <bottom/>
      <diagonal/>
    </border>
  </borders>
  <cellStyleXfs count="14">
    <xf numFmtId="0" fontId="0" fillId="0" borderId="0"/>
    <xf numFmtId="0" fontId="1" fillId="2" borderId="0" applyNumberFormat="0" applyBorder="0" applyAlignment="0" applyProtection="0"/>
    <xf numFmtId="4" fontId="3" fillId="3" borderId="1" applyNumberFormat="0" applyProtection="0">
      <alignment horizontal="left" vertical="center" indent="1"/>
    </xf>
    <xf numFmtId="4" fontId="3" fillId="0" borderId="1" applyNumberFormat="0" applyProtection="0">
      <alignment horizontal="right" vertical="center"/>
    </xf>
    <xf numFmtId="0" fontId="5" fillId="0" borderId="0" applyNumberForma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1" fillId="4" borderId="0" applyNumberFormat="0" applyBorder="0" applyAlignment="0" applyProtection="0"/>
    <xf numFmtId="4" fontId="3" fillId="6" borderId="1" applyNumberFormat="0" applyProtection="0">
      <alignment horizontal="left" vertical="center" indent="1"/>
    </xf>
    <xf numFmtId="0" fontId="34" fillId="0" borderId="15" applyNumberFormat="0" applyFill="0" applyAlignment="0" applyProtection="0"/>
    <xf numFmtId="169" fontId="40" fillId="16" borderId="0" applyBorder="0" applyProtection="0"/>
    <xf numFmtId="169" fontId="41" fillId="0" borderId="0" applyBorder="0" applyProtection="0"/>
    <xf numFmtId="171" fontId="41" fillId="0" borderId="0" applyBorder="0" applyProtection="0"/>
    <xf numFmtId="43" fontId="8" fillId="0" borderId="0" applyFont="0" applyFill="0" applyBorder="0" applyAlignment="0" applyProtection="0"/>
  </cellStyleXfs>
  <cellXfs count="358">
    <xf numFmtId="0" fontId="0" fillId="0" borderId="0" xfId="0"/>
    <xf numFmtId="0" fontId="0" fillId="0" borderId="0" xfId="0"/>
    <xf numFmtId="0" fontId="9" fillId="0" borderId="0" xfId="0" applyFont="1"/>
    <xf numFmtId="164" fontId="0" fillId="0" borderId="0" xfId="5" applyFont="1"/>
    <xf numFmtId="0" fontId="0" fillId="0" borderId="0" xfId="0" applyFont="1"/>
    <xf numFmtId="0" fontId="15" fillId="0" borderId="0" xfId="0" applyFont="1" applyAlignment="1">
      <alignment horizontal="center" vertical="center"/>
    </xf>
    <xf numFmtId="0" fontId="9" fillId="0" borderId="7" xfId="0" applyFont="1" applyBorder="1" applyProtection="1">
      <protection locked="0"/>
    </xf>
    <xf numFmtId="9" fontId="9" fillId="0" borderId="7" xfId="6" applyFont="1" applyFill="1" applyBorder="1" applyProtection="1">
      <protection locked="0"/>
    </xf>
    <xf numFmtId="0" fontId="9" fillId="0" borderId="2" xfId="0" applyFont="1" applyBorder="1" applyProtection="1">
      <protection locked="0"/>
    </xf>
    <xf numFmtId="0" fontId="2" fillId="0" borderId="0" xfId="0" applyFont="1" applyAlignment="1">
      <alignment vertical="top"/>
    </xf>
    <xf numFmtId="0" fontId="2" fillId="0" borderId="0" xfId="0" applyFont="1" applyAlignment="1">
      <alignment horizontal="left" indent="2"/>
    </xf>
    <xf numFmtId="0" fontId="2" fillId="0" borderId="0" xfId="0" applyFont="1"/>
    <xf numFmtId="0" fontId="2" fillId="0" borderId="0" xfId="0" applyFont="1" applyAlignment="1">
      <alignment horizontal="center"/>
    </xf>
    <xf numFmtId="0" fontId="0" fillId="12" borderId="0" xfId="0" applyFill="1"/>
    <xf numFmtId="0" fontId="0" fillId="12" borderId="0" xfId="0" applyFill="1" applyBorder="1"/>
    <xf numFmtId="0" fontId="6" fillId="12" borderId="0" xfId="0" applyFont="1" applyFill="1" applyBorder="1" applyAlignment="1">
      <alignment horizontal="center" vertical="center"/>
    </xf>
    <xf numFmtId="0" fontId="18" fillId="12" borderId="0" xfId="0" applyFont="1" applyFill="1" applyBorder="1" applyAlignment="1">
      <alignment horizontal="center" vertical="center" wrapText="1"/>
    </xf>
    <xf numFmtId="0" fontId="0" fillId="12" borderId="0" xfId="0" applyFill="1" applyBorder="1" applyAlignment="1">
      <alignment horizontal="center"/>
    </xf>
    <xf numFmtId="0" fontId="21" fillId="12" borderId="0" xfId="0" applyFont="1" applyFill="1" applyAlignment="1">
      <alignment horizontal="right"/>
    </xf>
    <xf numFmtId="0" fontId="0" fillId="12" borderId="8" xfId="0" applyFill="1" applyBorder="1"/>
    <xf numFmtId="164" fontId="18" fillId="13" borderId="2" xfId="0" applyNumberFormat="1" applyFont="1" applyFill="1" applyBorder="1"/>
    <xf numFmtId="9" fontId="18" fillId="13" borderId="2" xfId="6" applyFont="1" applyFill="1" applyBorder="1"/>
    <xf numFmtId="9" fontId="19" fillId="13" borderId="2" xfId="6" applyFont="1" applyFill="1" applyBorder="1"/>
    <xf numFmtId="0" fontId="7" fillId="7" borderId="9" xfId="4" applyFont="1" applyFill="1" applyBorder="1" applyAlignment="1">
      <alignment horizontal="center"/>
    </xf>
    <xf numFmtId="9" fontId="0" fillId="12" borderId="8" xfId="6" applyFont="1" applyFill="1" applyBorder="1"/>
    <xf numFmtId="0" fontId="0" fillId="12" borderId="13" xfId="0" applyFill="1" applyBorder="1"/>
    <xf numFmtId="0" fontId="4" fillId="13" borderId="2" xfId="0" applyFont="1" applyFill="1" applyBorder="1" applyAlignment="1">
      <alignment horizontal="right"/>
    </xf>
    <xf numFmtId="167" fontId="10" fillId="2" borderId="11" xfId="5" applyNumberFormat="1" applyFont="1" applyFill="1" applyBorder="1" applyAlignment="1">
      <alignment horizontal="right" vertical="center"/>
    </xf>
    <xf numFmtId="0" fontId="2" fillId="0" borderId="0" xfId="0" applyFont="1" applyAlignment="1">
      <alignment horizontal="center" vertical="center"/>
    </xf>
    <xf numFmtId="0" fontId="16" fillId="9" borderId="6" xfId="0" applyFont="1" applyFill="1" applyBorder="1" applyAlignment="1">
      <alignment horizontal="center" vertical="center" wrapText="1"/>
    </xf>
    <xf numFmtId="0" fontId="27" fillId="0" borderId="0" xfId="0" applyFont="1"/>
    <xf numFmtId="9" fontId="13" fillId="0" borderId="2" xfId="6" applyFont="1" applyFill="1" applyBorder="1" applyAlignment="1" applyProtection="1">
      <alignment vertical="top"/>
      <protection locked="0"/>
    </xf>
    <xf numFmtId="167" fontId="14" fillId="8" borderId="5" xfId="7" applyNumberFormat="1" applyFont="1" applyFill="1" applyBorder="1" applyAlignment="1">
      <alignment vertical="top"/>
    </xf>
    <xf numFmtId="165" fontId="13" fillId="9" borderId="2" xfId="5" applyNumberFormat="1" applyFont="1" applyFill="1" applyBorder="1" applyAlignment="1">
      <alignment vertical="top"/>
    </xf>
    <xf numFmtId="9" fontId="13" fillId="9" borderId="2" xfId="6" applyFont="1" applyFill="1" applyBorder="1" applyAlignment="1">
      <alignment vertical="top"/>
    </xf>
    <xf numFmtId="9" fontId="13" fillId="12" borderId="0" xfId="6" applyFont="1" applyFill="1"/>
    <xf numFmtId="0" fontId="27" fillId="0" borderId="0" xfId="0" applyFont="1" applyAlignment="1">
      <alignment horizontal="left" indent="2"/>
    </xf>
    <xf numFmtId="0" fontId="20" fillId="0" borderId="0" xfId="0" applyFont="1" applyAlignment="1">
      <alignment vertical="center"/>
    </xf>
    <xf numFmtId="0" fontId="2" fillId="0" borderId="0" xfId="0" applyFont="1" applyAlignment="1">
      <alignment vertical="center"/>
    </xf>
    <xf numFmtId="0" fontId="2" fillId="0" borderId="0" xfId="0" applyFont="1" applyFill="1"/>
    <xf numFmtId="9" fontId="18" fillId="0" borderId="2" xfId="6" applyFont="1" applyBorder="1" applyProtection="1">
      <protection locked="0"/>
    </xf>
    <xf numFmtId="1" fontId="0" fillId="0" borderId="0" xfId="0" applyNumberFormat="1"/>
    <xf numFmtId="9" fontId="0" fillId="0" borderId="0" xfId="6" applyFont="1"/>
    <xf numFmtId="0" fontId="11" fillId="0" borderId="0" xfId="0" applyFont="1"/>
    <xf numFmtId="0" fontId="12" fillId="9" borderId="0" xfId="0" applyFont="1" applyFill="1" applyAlignment="1">
      <alignment horizontal="center" vertical="center" wrapText="1"/>
    </xf>
    <xf numFmtId="165" fontId="32" fillId="8" borderId="5" xfId="7" applyNumberFormat="1" applyFont="1" applyFill="1" applyBorder="1" applyAlignment="1">
      <alignment vertical="top"/>
    </xf>
    <xf numFmtId="0" fontId="0" fillId="0" borderId="0" xfId="0"/>
    <xf numFmtId="0" fontId="29" fillId="0" borderId="0" xfId="0" applyFont="1" applyAlignment="1">
      <alignment horizontal="left"/>
    </xf>
    <xf numFmtId="3" fontId="16" fillId="9" borderId="2" xfId="0" applyNumberFormat="1" applyFont="1" applyFill="1" applyBorder="1" applyAlignment="1">
      <alignment horizontal="center" vertical="center" wrapText="1"/>
    </xf>
    <xf numFmtId="3" fontId="0" fillId="0" borderId="0" xfId="0" applyNumberFormat="1"/>
    <xf numFmtId="0" fontId="2" fillId="0" borderId="0" xfId="0" applyFont="1" applyAlignment="1">
      <alignment vertical="top"/>
    </xf>
    <xf numFmtId="0" fontId="2" fillId="0" borderId="0" xfId="0" applyFont="1" applyAlignment="1">
      <alignment horizontal="left" indent="2"/>
    </xf>
    <xf numFmtId="0" fontId="2" fillId="0" borderId="0" xfId="0" applyFont="1"/>
    <xf numFmtId="0" fontId="2" fillId="0" borderId="0" xfId="0" applyFont="1" applyAlignment="1">
      <alignment horizontal="left" vertical="center" wrapText="1"/>
    </xf>
    <xf numFmtId="0" fontId="2" fillId="0" borderId="0" xfId="0" applyFont="1" applyAlignment="1">
      <alignment horizontal="center"/>
    </xf>
    <xf numFmtId="0" fontId="26" fillId="7" borderId="2" xfId="0" applyFont="1" applyFill="1" applyBorder="1" applyAlignment="1">
      <alignment horizontal="center" vertical="center"/>
    </xf>
    <xf numFmtId="0" fontId="29" fillId="0" borderId="2" xfId="0" applyFont="1" applyBorder="1" applyAlignment="1" applyProtection="1">
      <alignment vertical="top"/>
      <protection locked="0"/>
    </xf>
    <xf numFmtId="0" fontId="29" fillId="0" borderId="0" xfId="0" applyFont="1" applyFill="1" applyBorder="1" applyAlignment="1">
      <alignment vertical="top"/>
    </xf>
    <xf numFmtId="0" fontId="29" fillId="0" borderId="0" xfId="0" applyFont="1" applyAlignment="1">
      <alignment vertical="top"/>
    </xf>
    <xf numFmtId="165" fontId="31" fillId="0" borderId="2" xfId="5" applyNumberFormat="1" applyFont="1" applyFill="1" applyBorder="1" applyAlignment="1" applyProtection="1">
      <alignment vertical="top"/>
      <protection locked="0"/>
    </xf>
    <xf numFmtId="9" fontId="31" fillId="0" borderId="2" xfId="6" applyFont="1" applyFill="1" applyBorder="1" applyAlignment="1" applyProtection="1">
      <alignment vertical="top"/>
      <protection locked="0"/>
    </xf>
    <xf numFmtId="165" fontId="32" fillId="8" borderId="2" xfId="7" applyNumberFormat="1" applyFont="1" applyFill="1" applyBorder="1" applyAlignment="1">
      <alignment vertical="top"/>
    </xf>
    <xf numFmtId="167" fontId="32" fillId="8" borderId="5" xfId="7" applyNumberFormat="1" applyFont="1" applyFill="1" applyBorder="1" applyAlignment="1">
      <alignment vertical="top"/>
    </xf>
    <xf numFmtId="0" fontId="29" fillId="0" borderId="0" xfId="0" applyFont="1" applyFill="1" applyBorder="1"/>
    <xf numFmtId="0" fontId="29" fillId="0" borderId="0" xfId="0" applyFont="1"/>
    <xf numFmtId="0" fontId="29" fillId="0" borderId="2" xfId="0" applyFont="1" applyBorder="1" applyProtection="1">
      <protection locked="0"/>
    </xf>
    <xf numFmtId="0" fontId="30" fillId="0" borderId="0" xfId="0" applyFont="1" applyAlignment="1">
      <alignment horizontal="center" vertical="center"/>
    </xf>
    <xf numFmtId="0" fontId="28" fillId="9" borderId="6" xfId="0" applyFont="1" applyFill="1" applyBorder="1" applyAlignment="1">
      <alignment vertical="center" wrapText="1"/>
    </xf>
    <xf numFmtId="0" fontId="30" fillId="7" borderId="2" xfId="0" applyFont="1" applyFill="1" applyBorder="1" applyAlignment="1">
      <alignment horizontal="center" vertical="center"/>
    </xf>
    <xf numFmtId="0" fontId="29" fillId="9" borderId="0" xfId="0" applyFont="1" applyFill="1"/>
    <xf numFmtId="165" fontId="31" fillId="0" borderId="2" xfId="5" applyNumberFormat="1" applyFont="1" applyFill="1" applyBorder="1" applyProtection="1">
      <protection locked="0"/>
    </xf>
    <xf numFmtId="9" fontId="31" fillId="0" borderId="2" xfId="6" applyFont="1" applyFill="1" applyBorder="1" applyProtection="1">
      <protection locked="0"/>
    </xf>
    <xf numFmtId="165" fontId="32" fillId="8" borderId="2" xfId="7" applyNumberFormat="1" applyFont="1" applyFill="1" applyBorder="1"/>
    <xf numFmtId="167" fontId="32" fillId="8" borderId="2" xfId="7" applyNumberFormat="1" applyFont="1" applyFill="1" applyBorder="1"/>
    <xf numFmtId="0" fontId="12" fillId="9" borderId="6"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2" xfId="0" applyFont="1" applyFill="1" applyBorder="1" applyAlignment="1">
      <alignment horizontal="left" vertical="center" wrapText="1"/>
    </xf>
    <xf numFmtId="167" fontId="12" fillId="9" borderId="2" xfId="7" applyNumberFormat="1" applyFont="1" applyFill="1" applyBorder="1"/>
    <xf numFmtId="0" fontId="12" fillId="9" borderId="6" xfId="0" applyFont="1" applyFill="1" applyBorder="1" applyAlignment="1">
      <alignment horizontal="left" vertical="center" wrapText="1"/>
    </xf>
    <xf numFmtId="3" fontId="12" fillId="9" borderId="2" xfId="0" applyNumberFormat="1" applyFont="1" applyFill="1" applyBorder="1" applyAlignment="1">
      <alignment horizontal="center" vertical="center" wrapText="1"/>
    </xf>
    <xf numFmtId="3" fontId="29" fillId="0" borderId="0" xfId="0" applyNumberFormat="1" applyFont="1"/>
    <xf numFmtId="1" fontId="31" fillId="0" borderId="2" xfId="6" applyNumberFormat="1" applyFont="1" applyFill="1" applyBorder="1" applyProtection="1">
      <protection locked="0"/>
    </xf>
    <xf numFmtId="0" fontId="9" fillId="0" borderId="7"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0" fillId="0" borderId="0" xfId="0" applyAlignment="1">
      <alignment horizontal="center"/>
    </xf>
    <xf numFmtId="0" fontId="12" fillId="9" borderId="2" xfId="5" applyNumberFormat="1" applyFont="1" applyFill="1" applyBorder="1" applyAlignment="1">
      <alignment horizontal="center" vertical="center" wrapText="1"/>
    </xf>
    <xf numFmtId="0" fontId="12" fillId="9" borderId="2" xfId="5" applyNumberFormat="1" applyFont="1" applyFill="1" applyBorder="1" applyAlignment="1">
      <alignment horizontal="left" vertical="center" wrapText="1"/>
    </xf>
    <xf numFmtId="165" fontId="32" fillId="8" borderId="2" xfId="7" applyNumberFormat="1" applyFont="1" applyFill="1" applyBorder="1" applyAlignment="1">
      <alignment wrapText="1"/>
    </xf>
    <xf numFmtId="0" fontId="12" fillId="9" borderId="2" xfId="0" applyNumberFormat="1" applyFont="1" applyFill="1" applyBorder="1" applyAlignment="1">
      <alignment horizontal="center" vertical="center" wrapText="1"/>
    </xf>
    <xf numFmtId="0" fontId="36" fillId="14" borderId="15" xfId="9" applyFont="1" applyFill="1" applyAlignment="1">
      <alignment vertical="center"/>
    </xf>
    <xf numFmtId="0" fontId="36" fillId="14" borderId="15" xfId="9" applyFont="1" applyFill="1" applyAlignment="1">
      <alignment vertical="center" wrapText="1"/>
    </xf>
    <xf numFmtId="0" fontId="36" fillId="14" borderId="15" xfId="9" applyFont="1" applyFill="1" applyAlignment="1">
      <alignment horizontal="center" vertical="center"/>
    </xf>
    <xf numFmtId="0" fontId="29" fillId="10" borderId="0" xfId="0" applyFont="1" applyFill="1"/>
    <xf numFmtId="0" fontId="38" fillId="9" borderId="0" xfId="0" applyFont="1" applyFill="1" applyAlignment="1">
      <alignment wrapText="1"/>
    </xf>
    <xf numFmtId="0" fontId="30" fillId="0" borderId="2" xfId="0" applyFont="1" applyBorder="1" applyAlignment="1"/>
    <xf numFmtId="0" fontId="26" fillId="9" borderId="2" xfId="0" applyFont="1" applyFill="1" applyBorder="1" applyAlignment="1">
      <alignment vertical="top" wrapText="1"/>
    </xf>
    <xf numFmtId="0" fontId="38" fillId="9" borderId="2" xfId="0" applyFont="1" applyFill="1" applyBorder="1" applyAlignment="1">
      <alignment horizontal="left" vertical="center" wrapText="1"/>
    </xf>
    <xf numFmtId="168" fontId="32" fillId="8" borderId="2" xfId="7" applyNumberFormat="1" applyFont="1" applyFill="1" applyBorder="1"/>
    <xf numFmtId="0" fontId="0" fillId="0" borderId="2" xfId="0" applyBorder="1" applyProtection="1">
      <protection locked="0"/>
    </xf>
    <xf numFmtId="0" fontId="0" fillId="0" borderId="7" xfId="0" applyBorder="1" applyProtection="1">
      <protection locked="0"/>
    </xf>
    <xf numFmtId="0" fontId="38" fillId="9" borderId="2" xfId="0" applyFont="1" applyFill="1" applyBorder="1" applyAlignment="1">
      <alignment wrapText="1"/>
    </xf>
    <xf numFmtId="1" fontId="29" fillId="0" borderId="10" xfId="3" applyNumberFormat="1" applyFont="1" applyFill="1" applyBorder="1" applyAlignment="1" applyProtection="1">
      <alignment horizontal="right" vertical="center"/>
      <protection locked="0"/>
    </xf>
    <xf numFmtId="172" fontId="32" fillId="8" borderId="2" xfId="7" applyNumberFormat="1" applyFont="1" applyFill="1" applyBorder="1"/>
    <xf numFmtId="172" fontId="31" fillId="0" borderId="2" xfId="5" applyNumberFormat="1" applyFont="1" applyFill="1" applyBorder="1" applyProtection="1">
      <protection locked="0"/>
    </xf>
    <xf numFmtId="172" fontId="14" fillId="8" borderId="2" xfId="7" applyNumberFormat="1" applyFont="1" applyFill="1" applyBorder="1" applyAlignment="1">
      <alignment vertical="top"/>
    </xf>
    <xf numFmtId="172" fontId="14" fillId="8" borderId="5" xfId="7" applyNumberFormat="1" applyFont="1" applyFill="1" applyBorder="1" applyAlignment="1">
      <alignment vertical="top"/>
    </xf>
    <xf numFmtId="172" fontId="13" fillId="0" borderId="2" xfId="5" applyNumberFormat="1" applyFont="1" applyFill="1" applyBorder="1" applyAlignment="1" applyProtection="1">
      <alignment vertical="top"/>
      <protection locked="0"/>
    </xf>
    <xf numFmtId="0" fontId="38" fillId="9" borderId="2" xfId="0" applyFont="1" applyFill="1" applyBorder="1" applyAlignment="1">
      <alignment horizontal="center" vertical="center" wrapText="1"/>
    </xf>
    <xf numFmtId="172" fontId="32" fillId="8" borderId="2" xfId="7" applyNumberFormat="1" applyFont="1" applyFill="1" applyBorder="1" applyAlignment="1">
      <alignment wrapText="1"/>
    </xf>
    <xf numFmtId="0" fontId="29" fillId="0" borderId="7" xfId="0" applyFont="1" applyBorder="1" applyProtection="1">
      <protection locked="0"/>
    </xf>
    <xf numFmtId="1" fontId="29" fillId="0" borderId="22" xfId="3" applyNumberFormat="1" applyFont="1" applyFill="1" applyBorder="1" applyAlignment="1" applyProtection="1">
      <alignment horizontal="right" vertical="center"/>
      <protection locked="0"/>
    </xf>
    <xf numFmtId="173" fontId="10" fillId="2" borderId="11" xfId="5" applyNumberFormat="1" applyFont="1" applyFill="1" applyBorder="1" applyAlignment="1">
      <alignment horizontal="right" vertical="center"/>
    </xf>
    <xf numFmtId="172" fontId="9" fillId="0" borderId="7" xfId="5" applyNumberFormat="1" applyFont="1" applyFill="1" applyBorder="1" applyProtection="1">
      <protection locked="0"/>
    </xf>
    <xf numFmtId="174" fontId="27" fillId="0" borderId="0" xfId="0" applyNumberFormat="1" applyFont="1" applyAlignment="1">
      <alignment horizontal="left" indent="2"/>
    </xf>
    <xf numFmtId="174" fontId="27" fillId="0" borderId="0" xfId="0" applyNumberFormat="1" applyFont="1"/>
    <xf numFmtId="2" fontId="2" fillId="0" borderId="0" xfId="0" applyNumberFormat="1" applyFont="1" applyAlignment="1">
      <alignment horizontal="left" indent="2"/>
    </xf>
    <xf numFmtId="2" fontId="21" fillId="0" borderId="2" xfId="0" applyNumberFormat="1" applyFont="1" applyFill="1" applyBorder="1" applyProtection="1">
      <protection locked="0"/>
    </xf>
    <xf numFmtId="0" fontId="29" fillId="0" borderId="0" xfId="0" applyFont="1" applyFill="1" applyAlignment="1">
      <alignment horizontal="right"/>
    </xf>
    <xf numFmtId="0" fontId="29" fillId="12" borderId="0" xfId="0" applyFont="1" applyFill="1" applyAlignment="1">
      <alignment vertical="top"/>
    </xf>
    <xf numFmtId="0" fontId="44" fillId="12" borderId="0" xfId="0" applyFont="1" applyFill="1" applyBorder="1" applyAlignment="1">
      <alignment horizontal="center"/>
    </xf>
    <xf numFmtId="0" fontId="30" fillId="9" borderId="6" xfId="0" applyFont="1" applyFill="1" applyBorder="1" applyAlignment="1">
      <alignment horizontal="center" vertical="center" wrapText="1"/>
    </xf>
    <xf numFmtId="0" fontId="0" fillId="0" borderId="9" xfId="0" applyBorder="1" applyProtection="1">
      <protection locked="0"/>
    </xf>
    <xf numFmtId="0" fontId="45" fillId="0" borderId="2" xfId="0" applyFont="1" applyBorder="1" applyAlignment="1">
      <alignment horizontal="center"/>
    </xf>
    <xf numFmtId="0" fontId="29" fillId="0" borderId="9" xfId="0" applyFont="1" applyBorder="1" applyAlignment="1" applyProtection="1">
      <alignment vertical="top"/>
      <protection locked="0"/>
    </xf>
    <xf numFmtId="0" fontId="29" fillId="12" borderId="2" xfId="0" applyFont="1" applyFill="1" applyBorder="1" applyAlignment="1">
      <alignment vertical="top"/>
    </xf>
    <xf numFmtId="9" fontId="13" fillId="12" borderId="2" xfId="6" applyFont="1" applyFill="1" applyBorder="1"/>
    <xf numFmtId="49" fontId="0" fillId="0" borderId="0" xfId="0" applyNumberFormat="1" applyFill="1"/>
    <xf numFmtId="0" fontId="12" fillId="5" borderId="20" xfId="2" quotePrefix="1" applyNumberFormat="1" applyFont="1" applyFill="1" applyBorder="1" applyAlignment="1">
      <alignment horizontal="center" vertical="center"/>
    </xf>
    <xf numFmtId="0" fontId="38" fillId="9" borderId="6" xfId="0" applyFont="1" applyFill="1" applyBorder="1" applyAlignment="1">
      <alignment wrapText="1"/>
    </xf>
    <xf numFmtId="0" fontId="26" fillId="9" borderId="6" xfId="0" applyFont="1" applyFill="1" applyBorder="1" applyAlignment="1">
      <alignment vertical="top" wrapText="1"/>
    </xf>
    <xf numFmtId="0" fontId="9" fillId="0" borderId="24" xfId="0" applyFont="1" applyBorder="1" applyProtection="1">
      <protection locked="0"/>
    </xf>
    <xf numFmtId="0" fontId="9" fillId="0" borderId="9" xfId="0" applyFont="1" applyBorder="1" applyProtection="1">
      <protection locked="0"/>
    </xf>
    <xf numFmtId="0" fontId="17" fillId="7" borderId="5" xfId="0" applyFont="1" applyFill="1" applyBorder="1" applyAlignment="1">
      <alignment horizontal="center" vertical="center"/>
    </xf>
    <xf numFmtId="170" fontId="45" fillId="21" borderId="2" xfId="10" applyNumberFormat="1" applyFont="1" applyFill="1" applyBorder="1" applyAlignment="1" applyProtection="1">
      <alignment horizontal="center" vertical="center"/>
      <protection locked="0"/>
    </xf>
    <xf numFmtId="170" fontId="47" fillId="21" borderId="2" xfId="10" applyNumberFormat="1" applyFont="1" applyFill="1" applyBorder="1" applyAlignment="1" applyProtection="1">
      <alignment horizontal="center" vertical="center"/>
      <protection locked="0"/>
    </xf>
    <xf numFmtId="0" fontId="29" fillId="10" borderId="0" xfId="0" applyFont="1" applyFill="1" applyAlignment="1">
      <alignment wrapText="1"/>
    </xf>
    <xf numFmtId="170" fontId="47" fillId="21" borderId="2" xfId="10" applyNumberFormat="1" applyFont="1" applyFill="1" applyBorder="1" applyAlignment="1" applyProtection="1">
      <alignment horizontal="center" vertical="top"/>
      <protection locked="0"/>
    </xf>
    <xf numFmtId="3" fontId="47" fillId="20" borderId="2" xfId="1" applyNumberFormat="1" applyFont="1" applyFill="1" applyBorder="1" applyAlignment="1" applyProtection="1">
      <alignment horizontal="center" vertical="top"/>
      <protection locked="0"/>
    </xf>
    <xf numFmtId="0" fontId="30" fillId="10" borderId="0" xfId="0" applyFont="1" applyFill="1" applyAlignment="1">
      <alignment wrapText="1"/>
    </xf>
    <xf numFmtId="0" fontId="36" fillId="14" borderId="15" xfId="9" applyFont="1" applyFill="1" applyAlignment="1">
      <alignment horizontal="left" vertical="center"/>
    </xf>
    <xf numFmtId="0" fontId="36" fillId="22" borderId="15" xfId="9" applyFont="1" applyFill="1" applyAlignment="1">
      <alignment horizontal="center" vertical="center"/>
    </xf>
    <xf numFmtId="0" fontId="36" fillId="22" borderId="15" xfId="9" applyFont="1" applyFill="1" applyAlignment="1">
      <alignment vertical="center" wrapText="1"/>
    </xf>
    <xf numFmtId="0" fontId="2" fillId="22" borderId="0" xfId="0" applyFont="1" applyFill="1"/>
    <xf numFmtId="0" fontId="12" fillId="9" borderId="14" xfId="5" applyNumberFormat="1" applyFont="1" applyFill="1" applyBorder="1" applyAlignment="1">
      <alignment horizontal="center" vertical="center" wrapText="1"/>
    </xf>
    <xf numFmtId="0" fontId="29" fillId="0" borderId="9" xfId="0" applyFont="1" applyBorder="1" applyProtection="1">
      <protection locked="0"/>
    </xf>
    <xf numFmtId="0" fontId="29" fillId="0" borderId="2" xfId="0" applyFont="1" applyFill="1" applyBorder="1" applyAlignment="1" applyProtection="1">
      <alignment vertical="top"/>
      <protection locked="0"/>
    </xf>
    <xf numFmtId="0" fontId="29" fillId="0" borderId="2" xfId="0" applyFont="1" applyFill="1" applyBorder="1" applyProtection="1">
      <protection locked="0"/>
    </xf>
    <xf numFmtId="0" fontId="11" fillId="0" borderId="2" xfId="0" applyFont="1" applyBorder="1" applyProtection="1">
      <protection locked="0"/>
    </xf>
    <xf numFmtId="0" fontId="5" fillId="0" borderId="0" xfId="4" quotePrefix="1"/>
    <xf numFmtId="170" fontId="45" fillId="8" borderId="2" xfId="3" applyNumberFormat="1" applyFont="1" applyFill="1" applyBorder="1" applyAlignment="1" applyProtection="1">
      <alignment horizontal="center" vertical="center"/>
      <protection locked="0"/>
    </xf>
    <xf numFmtId="0" fontId="45" fillId="0" borderId="2" xfId="0" applyFont="1" applyBorder="1" applyProtection="1">
      <protection locked="0"/>
    </xf>
    <xf numFmtId="0" fontId="45" fillId="8" borderId="2" xfId="0" applyFont="1" applyFill="1" applyBorder="1" applyAlignment="1" applyProtection="1">
      <alignment horizontal="center"/>
      <protection locked="0"/>
    </xf>
    <xf numFmtId="0" fontId="47" fillId="8" borderId="2" xfId="0" applyFont="1" applyFill="1" applyBorder="1" applyAlignment="1" applyProtection="1">
      <alignment horizontal="center"/>
      <protection locked="0"/>
    </xf>
    <xf numFmtId="170" fontId="47" fillId="8" borderId="2" xfId="3" applyNumberFormat="1" applyFont="1" applyFill="1" applyBorder="1" applyAlignment="1" applyProtection="1">
      <alignment horizontal="center" vertical="center"/>
      <protection locked="0"/>
    </xf>
    <xf numFmtId="3" fontId="47" fillId="8" borderId="2" xfId="1" applyNumberFormat="1" applyFont="1" applyFill="1" applyBorder="1" applyAlignment="1" applyProtection="1">
      <alignment horizontal="center" vertical="top"/>
      <protection locked="0"/>
    </xf>
    <xf numFmtId="0" fontId="5" fillId="0" borderId="2" xfId="4" applyBorder="1"/>
    <xf numFmtId="0" fontId="45"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169" fontId="48" fillId="8" borderId="2" xfId="11" applyFont="1" applyFill="1" applyBorder="1" applyAlignment="1" applyProtection="1">
      <alignment horizontal="center"/>
      <protection locked="0"/>
    </xf>
    <xf numFmtId="0" fontId="42" fillId="19" borderId="17" xfId="0" applyFont="1" applyFill="1" applyBorder="1" applyAlignment="1">
      <alignment horizontal="left" vertical="center"/>
    </xf>
    <xf numFmtId="0" fontId="42" fillId="18" borderId="17" xfId="0" applyFont="1" applyFill="1" applyBorder="1" applyAlignment="1">
      <alignment horizontal="left" vertical="center"/>
    </xf>
    <xf numFmtId="0" fontId="42" fillId="18" borderId="23" xfId="0" applyFont="1" applyFill="1" applyBorder="1" applyAlignment="1">
      <alignment horizontal="left" vertical="center"/>
    </xf>
    <xf numFmtId="0" fontId="42" fillId="19" borderId="23" xfId="0" applyFont="1" applyFill="1" applyBorder="1" applyAlignment="1">
      <alignment horizontal="left" vertical="center"/>
    </xf>
    <xf numFmtId="0" fontId="45" fillId="0" borderId="9" xfId="0" applyFont="1" applyBorder="1" applyProtection="1">
      <protection locked="0"/>
    </xf>
    <xf numFmtId="0" fontId="45" fillId="18" borderId="2" xfId="0" applyFont="1" applyFill="1" applyBorder="1" applyAlignment="1">
      <alignment horizontal="center" vertical="center"/>
    </xf>
    <xf numFmtId="0" fontId="42" fillId="19" borderId="2" xfId="0" applyFont="1" applyFill="1" applyBorder="1" applyAlignment="1">
      <alignment horizontal="center" vertical="center"/>
    </xf>
    <xf numFmtId="0" fontId="45" fillId="0" borderId="2" xfId="0" applyFont="1" applyBorder="1" applyAlignment="1">
      <alignment horizontal="center" vertical="center"/>
    </xf>
    <xf numFmtId="0" fontId="5" fillId="0" borderId="2" xfId="4" quotePrefix="1" applyBorder="1"/>
    <xf numFmtId="0" fontId="42" fillId="19" borderId="17" xfId="0" applyFont="1" applyFill="1" applyBorder="1" applyAlignment="1">
      <alignment horizontal="center" vertical="center"/>
    </xf>
    <xf numFmtId="0" fontId="42" fillId="18" borderId="17" xfId="0" applyFont="1" applyFill="1" applyBorder="1" applyAlignment="1">
      <alignment horizontal="center" vertical="center"/>
    </xf>
    <xf numFmtId="170" fontId="50" fillId="21" borderId="2" xfId="10" applyNumberFormat="1" applyFont="1" applyFill="1" applyBorder="1" applyAlignment="1" applyProtection="1">
      <alignment horizontal="center" vertical="top"/>
      <protection locked="0"/>
    </xf>
    <xf numFmtId="0" fontId="51" fillId="0" borderId="2" xfId="0" applyFont="1" applyBorder="1" applyAlignment="1" applyProtection="1">
      <alignment vertical="top"/>
      <protection locked="0"/>
    </xf>
    <xf numFmtId="0" fontId="52" fillId="0" borderId="2" xfId="0" applyFont="1" applyBorder="1" applyProtection="1">
      <protection locked="0"/>
    </xf>
    <xf numFmtId="0" fontId="52" fillId="0" borderId="0" xfId="0" applyFont="1"/>
    <xf numFmtId="0" fontId="53" fillId="15" borderId="2" xfId="0" applyFont="1" applyFill="1" applyBorder="1" applyAlignment="1">
      <alignment horizontal="center" vertical="center"/>
    </xf>
    <xf numFmtId="0" fontId="54" fillId="15" borderId="2" xfId="0" applyFont="1" applyFill="1" applyBorder="1"/>
    <xf numFmtId="3" fontId="54" fillId="15" borderId="2" xfId="0" applyNumberFormat="1" applyFont="1" applyFill="1" applyBorder="1"/>
    <xf numFmtId="0" fontId="54" fillId="15" borderId="2" xfId="0" applyFont="1" applyFill="1" applyBorder="1" applyAlignment="1">
      <alignment horizontal="center"/>
    </xf>
    <xf numFmtId="0" fontId="29" fillId="0" borderId="32" xfId="0" applyFont="1" applyBorder="1" applyProtection="1">
      <protection locked="0"/>
    </xf>
    <xf numFmtId="0" fontId="29" fillId="0" borderId="6" xfId="0" applyFont="1" applyBorder="1" applyProtection="1">
      <protection locked="0"/>
    </xf>
    <xf numFmtId="172" fontId="31" fillId="0" borderId="6" xfId="5" applyNumberFormat="1" applyFont="1" applyFill="1" applyBorder="1" applyProtection="1">
      <protection locked="0"/>
    </xf>
    <xf numFmtId="0" fontId="30" fillId="9" borderId="2" xfId="0" applyFont="1" applyFill="1" applyBorder="1" applyAlignment="1">
      <alignment horizontal="center" vertical="center"/>
    </xf>
    <xf numFmtId="0" fontId="29" fillId="9" borderId="2" xfId="0" applyFont="1" applyFill="1" applyBorder="1"/>
    <xf numFmtId="0" fontId="29" fillId="8" borderId="2" xfId="0" applyFont="1" applyFill="1" applyBorder="1" applyAlignment="1" applyProtection="1">
      <alignment horizontal="center"/>
      <protection locked="0"/>
    </xf>
    <xf numFmtId="0" fontId="29" fillId="8" borderId="2" xfId="0" applyFont="1" applyFill="1" applyBorder="1" applyAlignment="1">
      <alignment horizontal="center"/>
    </xf>
    <xf numFmtId="0" fontId="26" fillId="9" borderId="2" xfId="0" applyFont="1" applyFill="1" applyBorder="1" applyAlignment="1">
      <alignment horizontal="center" vertical="center"/>
    </xf>
    <xf numFmtId="0" fontId="0" fillId="9" borderId="2" xfId="0" applyFill="1" applyBorder="1"/>
    <xf numFmtId="0" fontId="0" fillId="9" borderId="2" xfId="0" applyFill="1" applyBorder="1" applyAlignment="1">
      <alignment horizontal="center"/>
    </xf>
    <xf numFmtId="0" fontId="47" fillId="8" borderId="6" xfId="0" applyFont="1" applyFill="1" applyBorder="1" applyAlignment="1" applyProtection="1">
      <alignment horizontal="center"/>
      <protection locked="0"/>
    </xf>
    <xf numFmtId="0" fontId="42" fillId="18" borderId="2" xfId="0" applyFont="1" applyFill="1" applyBorder="1" applyAlignment="1">
      <alignment horizontal="center" vertical="center"/>
    </xf>
    <xf numFmtId="0" fontId="42" fillId="19" borderId="2" xfId="0" applyFont="1" applyFill="1" applyBorder="1" applyAlignment="1">
      <alignment horizontal="left" vertical="center"/>
    </xf>
    <xf numFmtId="172" fontId="0" fillId="9" borderId="2" xfId="0" applyNumberFormat="1" applyFill="1" applyBorder="1"/>
    <xf numFmtId="164" fontId="8" fillId="15" borderId="2" xfId="5" applyFont="1" applyFill="1" applyBorder="1"/>
    <xf numFmtId="0" fontId="45" fillId="0" borderId="2" xfId="0" applyFont="1" applyBorder="1"/>
    <xf numFmtId="0" fontId="42" fillId="18" borderId="29" xfId="0" applyFont="1" applyFill="1" applyBorder="1" applyAlignment="1">
      <alignment horizontal="left" vertical="center"/>
    </xf>
    <xf numFmtId="0" fontId="55" fillId="18" borderId="2" xfId="0" applyFont="1" applyFill="1" applyBorder="1" applyAlignment="1">
      <alignment horizontal="left" vertical="center"/>
    </xf>
    <xf numFmtId="0" fontId="42" fillId="19" borderId="17" xfId="0" applyFont="1" applyFill="1" applyBorder="1" applyAlignment="1">
      <alignment horizontal="right" vertical="center"/>
    </xf>
    <xf numFmtId="0" fontId="42" fillId="18" borderId="17" xfId="0" applyFont="1" applyFill="1" applyBorder="1" applyAlignment="1">
      <alignment horizontal="right" vertical="center"/>
    </xf>
    <xf numFmtId="0" fontId="42" fillId="18" borderId="19" xfId="0" applyFont="1" applyFill="1" applyBorder="1" applyAlignment="1">
      <alignment horizontal="right" vertical="center"/>
    </xf>
    <xf numFmtId="0" fontId="45" fillId="0" borderId="6" xfId="0" applyFont="1" applyBorder="1" applyAlignment="1">
      <alignment horizontal="center" vertical="center"/>
    </xf>
    <xf numFmtId="0" fontId="45" fillId="0" borderId="32" xfId="0" applyFont="1" applyBorder="1" applyProtection="1">
      <protection locked="0"/>
    </xf>
    <xf numFmtId="0" fontId="0" fillId="0" borderId="6" xfId="0" applyBorder="1" applyProtection="1">
      <protection locked="0"/>
    </xf>
    <xf numFmtId="164" fontId="30" fillId="9" borderId="2" xfId="0" applyNumberFormat="1" applyFont="1" applyFill="1" applyBorder="1"/>
    <xf numFmtId="0" fontId="45" fillId="0" borderId="6" xfId="0" applyFont="1" applyBorder="1" applyAlignment="1" applyProtection="1">
      <alignment horizontal="center"/>
      <protection locked="0"/>
    </xf>
    <xf numFmtId="0" fontId="45" fillId="0" borderId="6" xfId="0" applyFont="1" applyBorder="1" applyProtection="1">
      <protection locked="0"/>
    </xf>
    <xf numFmtId="1" fontId="29" fillId="0" borderId="33" xfId="3" applyNumberFormat="1" applyFont="1" applyFill="1" applyBorder="1" applyAlignment="1" applyProtection="1">
      <alignment horizontal="right" vertical="center"/>
      <protection locked="0"/>
    </xf>
    <xf numFmtId="172" fontId="29" fillId="9" borderId="2" xfId="7" applyNumberFormat="1" applyFont="1" applyFill="1" applyBorder="1"/>
    <xf numFmtId="165" fontId="27" fillId="9" borderId="2" xfId="7" applyNumberFormat="1" applyFont="1" applyFill="1" applyBorder="1" applyAlignment="1">
      <alignment vertical="top"/>
    </xf>
    <xf numFmtId="0" fontId="42" fillId="19" borderId="27" xfId="0" applyFont="1" applyFill="1" applyBorder="1" applyAlignment="1">
      <alignment horizontal="left" vertical="center"/>
    </xf>
    <xf numFmtId="0" fontId="42" fillId="18" borderId="27" xfId="0" applyFont="1" applyFill="1" applyBorder="1" applyAlignment="1">
      <alignment horizontal="left" vertical="center"/>
    </xf>
    <xf numFmtId="0" fontId="42" fillId="0" borderId="17" xfId="0" applyFont="1" applyFill="1" applyBorder="1" applyAlignment="1">
      <alignment horizontal="left" vertical="center"/>
    </xf>
    <xf numFmtId="3" fontId="47" fillId="8" borderId="2" xfId="0" applyNumberFormat="1" applyFont="1" applyFill="1" applyBorder="1" applyAlignment="1">
      <alignment horizontal="center"/>
    </xf>
    <xf numFmtId="0" fontId="42" fillId="18" borderId="5" xfId="0" applyFont="1" applyFill="1" applyBorder="1" applyAlignment="1">
      <alignment horizontal="left" vertical="center"/>
    </xf>
    <xf numFmtId="175" fontId="47" fillId="8" borderId="2" xfId="13" applyNumberFormat="1" applyFont="1" applyFill="1" applyBorder="1" applyAlignment="1">
      <alignment horizontal="center" vertical="center"/>
    </xf>
    <xf numFmtId="3" fontId="47" fillId="8" borderId="6" xfId="0" applyNumberFormat="1" applyFont="1" applyFill="1" applyBorder="1" applyAlignment="1">
      <alignment horizontal="center"/>
    </xf>
    <xf numFmtId="0" fontId="42" fillId="19" borderId="2" xfId="0" applyFont="1" applyFill="1" applyBorder="1" applyAlignment="1">
      <alignment horizontal="right" vertical="center"/>
    </xf>
    <xf numFmtId="0" fontId="42" fillId="19" borderId="5" xfId="0" applyFont="1" applyFill="1" applyBorder="1" applyAlignment="1">
      <alignment horizontal="left" vertical="center"/>
    </xf>
    <xf numFmtId="3" fontId="47" fillId="8" borderId="28" xfId="0" applyNumberFormat="1" applyFont="1" applyFill="1" applyBorder="1" applyAlignment="1">
      <alignment horizontal="center"/>
    </xf>
    <xf numFmtId="0" fontId="42" fillId="18" borderId="19" xfId="0" applyFont="1" applyFill="1" applyBorder="1" applyAlignment="1">
      <alignment horizontal="center" vertical="center"/>
    </xf>
    <xf numFmtId="0" fontId="42" fillId="19" borderId="19" xfId="0" applyFont="1" applyFill="1" applyBorder="1" applyAlignment="1">
      <alignment horizontal="right" vertical="center"/>
    </xf>
    <xf numFmtId="0" fontId="42" fillId="19" borderId="29" xfId="0" applyFont="1" applyFill="1" applyBorder="1" applyAlignment="1">
      <alignment horizontal="left" vertical="center"/>
    </xf>
    <xf numFmtId="0" fontId="47" fillId="8" borderId="2" xfId="0" applyFont="1" applyFill="1" applyBorder="1" applyAlignment="1">
      <alignment horizontal="center"/>
    </xf>
    <xf numFmtId="0" fontId="47" fillId="8" borderId="9" xfId="0" applyFont="1" applyFill="1" applyBorder="1" applyAlignment="1">
      <alignment horizontal="center"/>
    </xf>
    <xf numFmtId="0" fontId="47" fillId="0" borderId="2" xfId="0" applyFont="1" applyBorder="1" applyAlignment="1">
      <alignment horizontal="center" vertical="center"/>
    </xf>
    <xf numFmtId="0" fontId="47" fillId="8" borderId="12" xfId="0" applyFont="1" applyFill="1" applyBorder="1" applyAlignment="1" applyProtection="1">
      <alignment horizontal="center"/>
      <protection locked="0"/>
    </xf>
    <xf numFmtId="0" fontId="47" fillId="8" borderId="2" xfId="0" applyFont="1" applyFill="1" applyBorder="1" applyAlignment="1">
      <alignment horizontal="center" vertical="center"/>
    </xf>
    <xf numFmtId="169" fontId="48" fillId="8" borderId="25" xfId="11" applyFont="1" applyFill="1" applyBorder="1" applyAlignment="1" applyProtection="1">
      <alignment horizontal="center"/>
      <protection locked="0"/>
    </xf>
    <xf numFmtId="169" fontId="48" fillId="8" borderId="18" xfId="11" applyFont="1" applyFill="1" applyBorder="1" applyAlignment="1" applyProtection="1">
      <alignment horizontal="center"/>
      <protection locked="0"/>
    </xf>
    <xf numFmtId="0" fontId="47" fillId="8" borderId="6" xfId="0" applyFont="1" applyFill="1" applyBorder="1" applyAlignment="1">
      <alignment horizontal="center"/>
    </xf>
    <xf numFmtId="169" fontId="48" fillId="8" borderId="6" xfId="11" applyFont="1" applyFill="1" applyBorder="1" applyAlignment="1" applyProtection="1">
      <alignment horizontal="center"/>
      <protection locked="0"/>
    </xf>
    <xf numFmtId="0" fontId="30" fillId="0" borderId="2" xfId="0" applyFont="1" applyBorder="1" applyAlignment="1" applyProtection="1">
      <alignment horizontal="center" vertical="center"/>
      <protection locked="0"/>
    </xf>
    <xf numFmtId="3" fontId="29" fillId="0" borderId="2" xfId="0" applyNumberFormat="1" applyFont="1" applyBorder="1" applyProtection="1">
      <protection locked="0"/>
    </xf>
    <xf numFmtId="0" fontId="42" fillId="19" borderId="17" xfId="0" applyFont="1" applyFill="1" applyBorder="1" applyAlignment="1" applyProtection="1">
      <alignment horizontal="center" vertical="center"/>
    </xf>
    <xf numFmtId="0" fontId="42" fillId="19" borderId="17" xfId="0" applyFont="1" applyFill="1" applyBorder="1" applyAlignment="1" applyProtection="1">
      <alignment horizontal="left" vertical="center"/>
    </xf>
    <xf numFmtId="0" fontId="47" fillId="8" borderId="2" xfId="0" applyFont="1" applyFill="1" applyBorder="1" applyAlignment="1" applyProtection="1">
      <alignment horizontal="center"/>
    </xf>
    <xf numFmtId="0" fontId="42" fillId="18" borderId="17" xfId="0" applyFont="1" applyFill="1" applyBorder="1" applyAlignment="1" applyProtection="1">
      <alignment horizontal="center" vertical="center"/>
    </xf>
    <xf numFmtId="0" fontId="42" fillId="18" borderId="17" xfId="0" applyFont="1" applyFill="1" applyBorder="1" applyAlignment="1" applyProtection="1">
      <alignment horizontal="left" vertical="center"/>
    </xf>
    <xf numFmtId="0" fontId="47" fillId="8" borderId="6" xfId="0" applyFont="1" applyFill="1" applyBorder="1" applyAlignment="1" applyProtection="1">
      <alignment horizontal="center"/>
    </xf>
    <xf numFmtId="0" fontId="42" fillId="18" borderId="2" xfId="0" applyFont="1" applyFill="1" applyBorder="1" applyAlignment="1" applyProtection="1">
      <alignment horizontal="center" vertical="center"/>
    </xf>
    <xf numFmtId="0" fontId="42" fillId="18" borderId="2" xfId="0" applyFont="1" applyFill="1" applyBorder="1" applyAlignment="1" applyProtection="1">
      <alignment horizontal="left" vertical="center"/>
    </xf>
    <xf numFmtId="0" fontId="42" fillId="19" borderId="2" xfId="0" applyFont="1" applyFill="1" applyBorder="1" applyAlignment="1" applyProtection="1">
      <alignment horizontal="center" vertical="center"/>
    </xf>
    <xf numFmtId="0" fontId="42" fillId="19" borderId="2" xfId="0" applyFont="1" applyFill="1" applyBorder="1" applyAlignment="1" applyProtection="1">
      <alignment horizontal="left" vertical="center"/>
    </xf>
    <xf numFmtId="0" fontId="0" fillId="0" borderId="2" xfId="0" applyFont="1" applyBorder="1" applyAlignment="1" applyProtection="1">
      <alignment horizontal="center"/>
    </xf>
    <xf numFmtId="0" fontId="15" fillId="8" borderId="2" xfId="0" applyFont="1" applyFill="1" applyBorder="1" applyAlignment="1" applyProtection="1">
      <alignment horizontal="center"/>
    </xf>
    <xf numFmtId="0" fontId="29" fillId="9" borderId="2" xfId="0" applyFont="1" applyFill="1" applyBorder="1" applyProtection="1">
      <protection locked="0"/>
    </xf>
    <xf numFmtId="165" fontId="13" fillId="9" borderId="2" xfId="5" applyNumberFormat="1" applyFont="1" applyFill="1" applyBorder="1" applyAlignment="1" applyProtection="1">
      <alignment vertical="top"/>
      <protection locked="0"/>
    </xf>
    <xf numFmtId="9" fontId="13" fillId="9" borderId="2" xfId="6" applyFont="1" applyFill="1" applyBorder="1" applyAlignment="1" applyProtection="1">
      <alignment vertical="top"/>
      <protection locked="0"/>
    </xf>
    <xf numFmtId="0" fontId="42" fillId="19" borderId="17" xfId="0" applyFont="1" applyFill="1" applyBorder="1" applyAlignment="1" applyProtection="1">
      <alignment horizontal="left" vertical="center"/>
      <protection locked="0"/>
    </xf>
    <xf numFmtId="172" fontId="0" fillId="15" borderId="2" xfId="0" applyNumberFormat="1" applyFont="1" applyFill="1" applyBorder="1"/>
    <xf numFmtId="0" fontId="47" fillId="8" borderId="9" xfId="0" applyFont="1" applyFill="1" applyBorder="1" applyAlignment="1" applyProtection="1">
      <alignment horizontal="center"/>
      <protection locked="0"/>
    </xf>
    <xf numFmtId="3" fontId="47" fillId="8" borderId="9" xfId="0" applyNumberFormat="1" applyFont="1" applyFill="1" applyBorder="1" applyAlignment="1">
      <alignment horizontal="center"/>
    </xf>
    <xf numFmtId="170" fontId="45" fillId="8" borderId="9" xfId="3" applyNumberFormat="1" applyFont="1" applyFill="1" applyBorder="1" applyAlignment="1" applyProtection="1">
      <alignment horizontal="center" vertical="center"/>
      <protection locked="0"/>
    </xf>
    <xf numFmtId="0" fontId="45" fillId="8" borderId="9" xfId="0" applyFont="1" applyFill="1" applyBorder="1" applyAlignment="1" applyProtection="1">
      <alignment horizontal="center"/>
      <protection locked="0"/>
    </xf>
    <xf numFmtId="170" fontId="47" fillId="8" borderId="9" xfId="3" applyNumberFormat="1" applyFont="1" applyFill="1" applyBorder="1" applyAlignment="1" applyProtection="1">
      <alignment horizontal="center" vertical="center"/>
      <protection locked="0"/>
    </xf>
    <xf numFmtId="3" fontId="47" fillId="20" borderId="9" xfId="1" applyNumberFormat="1" applyFont="1" applyFill="1" applyBorder="1" applyAlignment="1" applyProtection="1">
      <alignment horizontal="center" vertical="top"/>
      <protection locked="0"/>
    </xf>
    <xf numFmtId="0" fontId="47" fillId="8" borderId="32" xfId="0" applyFont="1" applyFill="1" applyBorder="1" applyAlignment="1" applyProtection="1">
      <alignment horizontal="center"/>
      <protection locked="0"/>
    </xf>
    <xf numFmtId="0" fontId="47" fillId="8" borderId="7" xfId="0" applyFont="1" applyFill="1" applyBorder="1" applyAlignment="1" applyProtection="1">
      <alignment horizontal="center"/>
      <protection locked="0"/>
    </xf>
    <xf numFmtId="172" fontId="29" fillId="9" borderId="2" xfId="0" applyNumberFormat="1" applyFont="1" applyFill="1" applyBorder="1"/>
    <xf numFmtId="0" fontId="36" fillId="0" borderId="15" xfId="9" applyFont="1" applyFill="1" applyAlignment="1">
      <alignment vertical="center" wrapText="1"/>
    </xf>
    <xf numFmtId="0" fontId="2" fillId="0" borderId="0" xfId="0" applyFont="1" applyAlignment="1" applyProtection="1">
      <alignment vertical="top"/>
    </xf>
    <xf numFmtId="0" fontId="24" fillId="11" borderId="0" xfId="0" applyFont="1" applyFill="1" applyBorder="1" applyAlignment="1" applyProtection="1">
      <alignment vertical="center" wrapText="1"/>
    </xf>
    <xf numFmtId="0" fontId="24" fillId="0" borderId="0" xfId="0" applyFont="1" applyBorder="1" applyAlignment="1" applyProtection="1">
      <alignment vertical="center" wrapText="1"/>
    </xf>
    <xf numFmtId="0" fontId="2" fillId="0" borderId="0" xfId="0" applyFont="1" applyProtection="1"/>
    <xf numFmtId="0" fontId="2" fillId="0" borderId="0" xfId="0" applyFont="1" applyBorder="1" applyAlignment="1" applyProtection="1">
      <alignment vertical="center"/>
    </xf>
    <xf numFmtId="0" fontId="24" fillId="0" borderId="3" xfId="0" applyFont="1" applyBorder="1" applyAlignment="1" applyProtection="1">
      <alignment vertical="top" wrapText="1"/>
      <protection locked="0"/>
    </xf>
    <xf numFmtId="0" fontId="24" fillId="0" borderId="0" xfId="0" applyFont="1" applyBorder="1" applyAlignment="1" applyProtection="1">
      <alignment vertical="center" wrapText="1"/>
      <protection locked="0"/>
    </xf>
    <xf numFmtId="0" fontId="2" fillId="0" borderId="0" xfId="0" applyFont="1" applyBorder="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43" fillId="0" borderId="2" xfId="0" applyFont="1" applyBorder="1" applyAlignment="1" applyProtection="1">
      <protection locked="0"/>
    </xf>
    <xf numFmtId="0" fontId="2" fillId="0" borderId="2" xfId="0" applyFont="1" applyBorder="1" applyAlignment="1" applyProtection="1">
      <alignment horizontal="center"/>
      <protection locked="0"/>
    </xf>
    <xf numFmtId="0" fontId="2" fillId="0" borderId="2" xfId="0" applyFont="1" applyBorder="1" applyProtection="1">
      <protection locked="0"/>
    </xf>
    <xf numFmtId="0" fontId="2" fillId="0" borderId="0" xfId="0" applyFont="1" applyBorder="1" applyAlignment="1" applyProtection="1">
      <alignment horizontal="center"/>
      <protection locked="0"/>
    </xf>
    <xf numFmtId="0" fontId="2" fillId="0" borderId="2" xfId="0" applyFont="1" applyBorder="1" applyAlignment="1" applyProtection="1">
      <protection locked="0"/>
    </xf>
    <xf numFmtId="0" fontId="2" fillId="0" borderId="2" xfId="0" applyFont="1" applyBorder="1" applyAlignment="1" applyProtection="1">
      <alignment horizontal="center" vertical="center"/>
      <protection locked="0"/>
    </xf>
    <xf numFmtId="166" fontId="2" fillId="0" borderId="0" xfId="0" applyNumberFormat="1" applyFont="1" applyBorder="1" applyProtection="1">
      <protection locked="0"/>
    </xf>
    <xf numFmtId="0" fontId="2" fillId="0" borderId="0" xfId="0" applyFont="1" applyBorder="1" applyAlignment="1" applyProtection="1">
      <protection locked="0"/>
    </xf>
    <xf numFmtId="2" fontId="2" fillId="0" borderId="0" xfId="0" applyNumberFormat="1" applyFont="1" applyBorder="1" applyAlignment="1" applyProtection="1">
      <alignment horizontal="center" vertical="center"/>
      <protection locked="0"/>
    </xf>
    <xf numFmtId="0" fontId="2" fillId="0" borderId="0" xfId="0" applyFont="1" applyAlignment="1" applyProtection="1">
      <alignment horizontal="left" indent="2"/>
      <protection locked="0"/>
    </xf>
    <xf numFmtId="0" fontId="2" fillId="0" borderId="0" xfId="0" applyFont="1" applyAlignment="1" applyProtection="1">
      <alignment horizontal="center" vertical="center"/>
      <protection locked="0"/>
    </xf>
    <xf numFmtId="0" fontId="2" fillId="12" borderId="0" xfId="0" applyFont="1" applyFill="1" applyAlignment="1" applyProtection="1">
      <alignment horizontal="center"/>
      <protection locked="0"/>
    </xf>
    <xf numFmtId="0" fontId="2" fillId="12" borderId="0" xfId="0" applyFont="1" applyFill="1" applyAlignment="1" applyProtection="1">
      <alignment horizontal="left" indent="2"/>
      <protection locked="0"/>
    </xf>
    <xf numFmtId="0" fontId="2" fillId="12" borderId="0" xfId="0" applyFont="1" applyFill="1" applyProtection="1">
      <protection locked="0"/>
    </xf>
    <xf numFmtId="0" fontId="2" fillId="0" borderId="5" xfId="0" applyFont="1" applyBorder="1" applyAlignment="1" applyProtection="1">
      <alignment horizontal="center"/>
      <protection locked="0"/>
    </xf>
    <xf numFmtId="0" fontId="45" fillId="0" borderId="17" xfId="0" applyFont="1" applyBorder="1" applyAlignment="1">
      <alignment horizontal="center" vertical="center"/>
    </xf>
    <xf numFmtId="0" fontId="45" fillId="19" borderId="17" xfId="0" applyFont="1" applyFill="1" applyBorder="1" applyAlignment="1">
      <alignment horizontal="center" vertical="center"/>
    </xf>
    <xf numFmtId="0" fontId="42" fillId="19" borderId="21" xfId="0" applyFont="1" applyFill="1" applyBorder="1" applyAlignment="1">
      <alignment horizontal="center" vertical="center"/>
    </xf>
    <xf numFmtId="0" fontId="42" fillId="18" borderId="2" xfId="0" applyFont="1" applyFill="1" applyBorder="1" applyAlignment="1">
      <alignment horizontal="left" vertical="center"/>
    </xf>
    <xf numFmtId="0" fontId="42" fillId="19" borderId="21" xfId="0" applyFont="1" applyFill="1" applyBorder="1" applyAlignment="1">
      <alignment horizontal="left" vertical="center"/>
    </xf>
    <xf numFmtId="0" fontId="9" fillId="0" borderId="0" xfId="0" applyFont="1" applyBorder="1" applyProtection="1">
      <protection locked="0"/>
    </xf>
    <xf numFmtId="0" fontId="0" fillId="0" borderId="0" xfId="0" applyBorder="1" applyProtection="1">
      <protection locked="0"/>
    </xf>
    <xf numFmtId="0" fontId="45" fillId="0" borderId="17" xfId="0" applyFont="1" applyBorder="1"/>
    <xf numFmtId="0" fontId="45" fillId="0" borderId="17" xfId="0" applyFont="1" applyBorder="1" applyAlignment="1">
      <alignment horizontal="right" vertical="center"/>
    </xf>
    <xf numFmtId="0" fontId="42" fillId="18" borderId="2" xfId="0" applyFont="1" applyFill="1" applyBorder="1" applyAlignment="1">
      <alignment horizontal="right" vertical="center"/>
    </xf>
    <xf numFmtId="0" fontId="55" fillId="18" borderId="17" xfId="0" applyFont="1" applyFill="1" applyBorder="1" applyAlignment="1">
      <alignment horizontal="left" vertical="center"/>
    </xf>
    <xf numFmtId="0" fontId="29" fillId="0" borderId="0" xfId="0" applyFont="1" applyBorder="1" applyProtection="1">
      <protection locked="0"/>
    </xf>
    <xf numFmtId="170" fontId="47" fillId="21" borderId="9" xfId="10" applyNumberFormat="1" applyFont="1" applyFill="1" applyBorder="1" applyAlignment="1" applyProtection="1">
      <alignment horizontal="center" vertical="top"/>
      <protection locked="0"/>
    </xf>
    <xf numFmtId="0" fontId="42" fillId="18" borderId="0" xfId="0" applyFont="1" applyFill="1" applyBorder="1" applyAlignment="1">
      <alignment horizontal="right" vertical="center"/>
    </xf>
    <xf numFmtId="0" fontId="56" fillId="18" borderId="2" xfId="0" applyFont="1" applyFill="1" applyBorder="1" applyAlignment="1">
      <alignment horizontal="right" vertical="center"/>
    </xf>
    <xf numFmtId="0" fontId="0" fillId="0" borderId="14" xfId="0" applyBorder="1" applyProtection="1">
      <protection locked="0"/>
    </xf>
    <xf numFmtId="0" fontId="45" fillId="0" borderId="9" xfId="0" applyFont="1" applyBorder="1"/>
    <xf numFmtId="0" fontId="46" fillId="0" borderId="9" xfId="0" applyFont="1" applyBorder="1" applyAlignment="1">
      <alignment vertical="top" wrapText="1"/>
    </xf>
    <xf numFmtId="0" fontId="47" fillId="8" borderId="0" xfId="0" applyFont="1" applyFill="1" applyBorder="1" applyAlignment="1">
      <alignment horizontal="center"/>
    </xf>
    <xf numFmtId="0" fontId="42" fillId="18" borderId="19" xfId="0" applyFont="1" applyFill="1" applyBorder="1" applyAlignment="1" applyProtection="1">
      <alignment horizontal="center" vertical="center"/>
    </xf>
    <xf numFmtId="0" fontId="42" fillId="18" borderId="19" xfId="0" applyFont="1" applyFill="1" applyBorder="1" applyAlignment="1" applyProtection="1">
      <alignment horizontal="left" vertical="center"/>
    </xf>
    <xf numFmtId="0" fontId="47" fillId="8" borderId="21" xfId="0" applyFont="1" applyFill="1" applyBorder="1" applyAlignment="1" applyProtection="1">
      <alignment horizontal="center"/>
    </xf>
    <xf numFmtId="170" fontId="47" fillId="17" borderId="2" xfId="3" applyNumberFormat="1" applyFont="1" applyFill="1" applyBorder="1" applyAlignment="1" applyProtection="1">
      <alignment horizontal="center" vertical="center"/>
    </xf>
    <xf numFmtId="0" fontId="2" fillId="0" borderId="2" xfId="0" applyFont="1" applyBorder="1" applyProtection="1"/>
    <xf numFmtId="0" fontId="42" fillId="18" borderId="30" xfId="0" applyFont="1" applyFill="1" applyBorder="1" applyAlignment="1">
      <alignment horizontal="center" vertical="center"/>
    </xf>
    <xf numFmtId="0" fontId="42" fillId="18" borderId="31" xfId="0" applyFont="1" applyFill="1" applyBorder="1" applyAlignment="1">
      <alignment horizontal="left" vertical="center"/>
    </xf>
    <xf numFmtId="3" fontId="47" fillId="8" borderId="24" xfId="0" applyNumberFormat="1" applyFont="1" applyFill="1" applyBorder="1" applyAlignment="1">
      <alignment horizontal="center"/>
    </xf>
    <xf numFmtId="3" fontId="47" fillId="8" borderId="0" xfId="0" applyNumberFormat="1" applyFont="1" applyFill="1" applyBorder="1" applyAlignment="1">
      <alignment horizontal="center"/>
    </xf>
    <xf numFmtId="0" fontId="9" fillId="0" borderId="0" xfId="0" applyFont="1" applyBorder="1" applyAlignment="1" applyProtection="1">
      <alignment horizontal="center"/>
      <protection locked="0"/>
    </xf>
    <xf numFmtId="0" fontId="16" fillId="9" borderId="2" xfId="0" applyFont="1" applyFill="1" applyBorder="1" applyAlignment="1" applyProtection="1">
      <alignment horizontal="center" vertical="center" wrapText="1"/>
      <protection locked="0"/>
    </xf>
    <xf numFmtId="0" fontId="12" fillId="9" borderId="2" xfId="0" applyNumberFormat="1" applyFont="1" applyFill="1" applyBorder="1" applyAlignment="1" applyProtection="1">
      <alignment horizontal="center" vertical="center" wrapText="1"/>
      <protection locked="0"/>
    </xf>
    <xf numFmtId="0" fontId="12" fillId="9" borderId="2" xfId="0" applyFont="1" applyFill="1" applyBorder="1" applyAlignment="1" applyProtection="1">
      <alignment horizontal="left" vertical="center" wrapText="1"/>
      <protection locked="0"/>
    </xf>
    <xf numFmtId="0" fontId="12" fillId="9" borderId="2" xfId="0" applyFont="1" applyFill="1" applyBorder="1" applyAlignment="1" applyProtection="1">
      <alignment horizontal="center" vertical="center" wrapText="1"/>
      <protection locked="0"/>
    </xf>
    <xf numFmtId="0" fontId="42" fillId="19" borderId="19" xfId="0" applyFont="1" applyFill="1" applyBorder="1" applyAlignment="1">
      <alignment horizontal="center" vertical="center"/>
    </xf>
    <xf numFmtId="0" fontId="29" fillId="0" borderId="2" xfId="0" applyFont="1" applyFill="1" applyBorder="1" applyAlignment="1" applyProtection="1">
      <alignment wrapText="1"/>
      <protection locked="0"/>
    </xf>
    <xf numFmtId="0" fontId="12" fillId="0" borderId="2" xfId="5" applyNumberFormat="1"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2" xfId="0" applyNumberFormat="1" applyFont="1" applyFill="1" applyBorder="1" applyAlignment="1" applyProtection="1">
      <alignment horizontal="center" vertical="center" wrapText="1"/>
      <protection locked="0"/>
    </xf>
    <xf numFmtId="0" fontId="12" fillId="9" borderId="6" xfId="0" applyFont="1" applyFill="1" applyBorder="1" applyAlignment="1" applyProtection="1">
      <alignment horizontal="center" vertical="center" wrapText="1"/>
      <protection locked="0"/>
    </xf>
    <xf numFmtId="3" fontId="12" fillId="8" borderId="2" xfId="0" applyNumberFormat="1" applyFont="1" applyFill="1" applyBorder="1" applyAlignment="1">
      <alignment horizontal="center" vertical="center" wrapText="1"/>
    </xf>
    <xf numFmtId="3" fontId="16" fillId="8" borderId="9" xfId="0" applyNumberFormat="1" applyFont="1" applyFill="1" applyBorder="1" applyAlignment="1">
      <alignment horizontal="center" vertical="center" wrapText="1"/>
    </xf>
    <xf numFmtId="0" fontId="45" fillId="0" borderId="17" xfId="0" applyFont="1" applyFill="1" applyBorder="1" applyAlignment="1">
      <alignment vertical="top" wrapText="1"/>
    </xf>
    <xf numFmtId="0" fontId="45" fillId="0" borderId="17" xfId="0" applyFont="1" applyBorder="1" applyProtection="1">
      <protection locked="0"/>
    </xf>
    <xf numFmtId="0" fontId="42" fillId="18" borderId="0" xfId="0" applyFont="1" applyFill="1" applyBorder="1" applyAlignment="1">
      <alignment horizontal="left" vertical="center"/>
    </xf>
    <xf numFmtId="0" fontId="46" fillId="0" borderId="0" xfId="0" applyFont="1" applyBorder="1" applyAlignment="1">
      <alignment vertical="top" wrapText="1"/>
    </xf>
    <xf numFmtId="0" fontId="45" fillId="0" borderId="23" xfId="0" applyFont="1" applyBorder="1"/>
    <xf numFmtId="169" fontId="48" fillId="8" borderId="12" xfId="11" applyFont="1" applyFill="1" applyBorder="1" applyAlignment="1" applyProtection="1">
      <alignment horizontal="center"/>
      <protection locked="0"/>
    </xf>
    <xf numFmtId="1" fontId="48" fillId="8" borderId="2" xfId="0" applyNumberFormat="1" applyFont="1" applyFill="1" applyBorder="1" applyAlignment="1">
      <alignment horizontal="center" vertical="top" shrinkToFit="1"/>
    </xf>
    <xf numFmtId="0" fontId="47" fillId="8" borderId="26" xfId="0" applyFont="1" applyFill="1" applyBorder="1" applyAlignment="1">
      <alignment horizontal="center"/>
    </xf>
    <xf numFmtId="169" fontId="48" fillId="8" borderId="7" xfId="11" applyFont="1" applyFill="1" applyBorder="1" applyAlignment="1" applyProtection="1">
      <alignment horizontal="center"/>
      <protection locked="0"/>
    </xf>
    <xf numFmtId="0" fontId="55" fillId="0" borderId="17" xfId="0" applyFont="1" applyFill="1" applyBorder="1" applyAlignment="1">
      <alignment horizontal="right" vertical="center"/>
    </xf>
    <xf numFmtId="0" fontId="0" fillId="0" borderId="32" xfId="0" applyBorder="1" applyProtection="1">
      <protection locked="0"/>
    </xf>
    <xf numFmtId="1" fontId="31" fillId="0" borderId="6" xfId="6" applyNumberFormat="1" applyFont="1" applyFill="1" applyBorder="1" applyProtection="1">
      <protection locked="0"/>
    </xf>
    <xf numFmtId="0" fontId="45" fillId="0" borderId="27" xfId="0" applyFont="1" applyBorder="1"/>
    <xf numFmtId="0" fontId="45" fillId="0" borderId="17" xfId="0" applyFont="1" applyBorder="1" applyAlignment="1" applyProtection="1">
      <alignment horizontal="center"/>
      <protection locked="0"/>
    </xf>
    <xf numFmtId="0" fontId="42" fillId="19" borderId="6" xfId="0" applyFont="1" applyFill="1" applyBorder="1" applyAlignment="1" applyProtection="1">
      <alignment horizontal="center" vertical="center"/>
      <protection locked="0"/>
    </xf>
    <xf numFmtId="0" fontId="45" fillId="19" borderId="27" xfId="0" applyFont="1" applyFill="1" applyBorder="1" applyAlignment="1">
      <alignment horizontal="left" vertical="center"/>
    </xf>
    <xf numFmtId="0" fontId="0" fillId="0" borderId="2" xfId="0" applyBorder="1" applyAlignment="1" applyProtection="1">
      <alignment horizontal="left" vertical="center" indent="5"/>
      <protection locked="0"/>
    </xf>
    <xf numFmtId="0" fontId="58" fillId="8" borderId="2" xfId="0" applyFont="1" applyFill="1" applyBorder="1" applyAlignment="1" applyProtection="1">
      <alignment horizontal="center"/>
      <protection locked="0"/>
    </xf>
    <xf numFmtId="2" fontId="21" fillId="0" borderId="2" xfId="0" applyNumberFormat="1" applyFont="1" applyFill="1" applyBorder="1" applyAlignment="1" applyProtection="1">
      <alignment horizontal="left"/>
      <protection locked="0"/>
    </xf>
    <xf numFmtId="0" fontId="23" fillId="12" borderId="0" xfId="0" applyFont="1" applyFill="1" applyAlignment="1">
      <alignment horizontal="center" vertical="center"/>
    </xf>
    <xf numFmtId="0" fontId="22" fillId="12" borderId="0" xfId="0" applyFont="1" applyFill="1" applyAlignment="1">
      <alignment horizontal="center" vertical="center"/>
    </xf>
    <xf numFmtId="0" fontId="35" fillId="14" borderId="15" xfId="9" applyFont="1" applyFill="1" applyAlignment="1">
      <alignment horizontal="center" vertical="center" wrapText="1"/>
    </xf>
    <xf numFmtId="0" fontId="36" fillId="14" borderId="15" xfId="9" applyFont="1" applyFill="1" applyAlignment="1">
      <alignment horizontal="center" vertical="center" wrapText="1"/>
    </xf>
    <xf numFmtId="0" fontId="36" fillId="14" borderId="16" xfId="9" applyFont="1" applyFill="1" applyBorder="1" applyAlignment="1">
      <alignment horizontal="center" vertical="center" wrapText="1"/>
    </xf>
    <xf numFmtId="0" fontId="17" fillId="0" borderId="4" xfId="0" applyFont="1" applyBorder="1" applyAlignment="1" applyProtection="1">
      <alignment horizontal="center"/>
      <protection locked="0"/>
    </xf>
    <xf numFmtId="0" fontId="17" fillId="0" borderId="0" xfId="0" applyFont="1" applyBorder="1" applyAlignment="1" applyProtection="1">
      <alignment horizontal="center"/>
      <protection locked="0"/>
    </xf>
    <xf numFmtId="0" fontId="24" fillId="0" borderId="0" xfId="0" applyFont="1" applyBorder="1" applyAlignment="1" applyProtection="1">
      <alignment horizontal="left" vertical="center" wrapText="1"/>
    </xf>
    <xf numFmtId="0" fontId="2" fillId="0" borderId="0" xfId="0" applyFont="1" applyFill="1" applyAlignment="1" applyProtection="1">
      <alignment horizontal="left" vertical="center" wrapText="1"/>
      <protection locked="0"/>
    </xf>
    <xf numFmtId="0" fontId="24" fillId="11" borderId="0" xfId="0" applyFont="1" applyFill="1" applyBorder="1" applyAlignment="1" applyProtection="1">
      <alignment horizontal="left" vertical="top" wrapText="1"/>
    </xf>
    <xf numFmtId="0" fontId="25" fillId="0" borderId="0" xfId="0" applyFont="1" applyBorder="1" applyAlignment="1">
      <alignment horizontal="center" vertical="center" wrapText="1"/>
    </xf>
    <xf numFmtId="0" fontId="24" fillId="11" borderId="0" xfId="0" applyFont="1" applyFill="1" applyBorder="1" applyAlignment="1" applyProtection="1">
      <alignment horizontal="left" vertical="center" wrapText="1"/>
    </xf>
    <xf numFmtId="0" fontId="29" fillId="0" borderId="2" xfId="0" applyNumberFormat="1" applyFont="1" applyBorder="1" applyProtection="1">
      <protection locked="0"/>
    </xf>
  </cellXfs>
  <cellStyles count="14">
    <cellStyle name="Excel Built-in Accent1" xfId="10" xr:uid="{00000000-0005-0000-0000-000000000000}"/>
    <cellStyle name="Excel Built-in Currency" xfId="12" xr:uid="{00000000-0005-0000-0000-000001000000}"/>
    <cellStyle name="Excel Built-in Normal" xfId="11" xr:uid="{00000000-0005-0000-0000-000002000000}"/>
    <cellStyle name="Hyperkobling" xfId="4" builtinId="8"/>
    <cellStyle name="Komma" xfId="13" builtinId="3"/>
    <cellStyle name="Normal" xfId="0" builtinId="0" customBuiltin="1"/>
    <cellStyle name="Overskrift 3" xfId="9" builtinId="18"/>
    <cellStyle name="Prosent" xfId="6" builtinId="5"/>
    <cellStyle name="SAPBEXaggItem" xfId="8" xr:uid="{00000000-0005-0000-0000-000008000000}"/>
    <cellStyle name="SAPBEXstdData" xfId="3" xr:uid="{00000000-0005-0000-0000-000009000000}"/>
    <cellStyle name="SAPBEXstdItem" xfId="2" xr:uid="{00000000-0005-0000-0000-00000A000000}"/>
    <cellStyle name="Uthevingsfarge1" xfId="1" builtinId="29"/>
    <cellStyle name="Uthevingsfarge5" xfId="7" builtinId="45"/>
    <cellStyle name="Valuta" xfId="5" builtinId="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s>
  <tableStyles count="0" defaultTableStyle="TableStyleMedium2" defaultPivotStyle="PivotStyleLight16"/>
  <colors>
    <mruColors>
      <color rgb="FF3366FF"/>
      <color rgb="FF3333FF"/>
      <color rgb="FF66FF99"/>
      <color rgb="FF66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hyperlink" Target="#Hovedside!A1"/></Relationships>
</file>

<file path=xl/drawings/_rels/drawing3.xml.rels><?xml version="1.0" encoding="UTF-8" standalone="yes"?>
<Relationships xmlns="http://schemas.openxmlformats.org/package/2006/relationships"><Relationship Id="rId1" Type="http://schemas.openxmlformats.org/officeDocument/2006/relationships/hyperlink" Target="#Hovedside!A1"/></Relationships>
</file>

<file path=xl/drawings/_rels/drawing4.xml.rels><?xml version="1.0" encoding="UTF-8" standalone="yes"?>
<Relationships xmlns="http://schemas.openxmlformats.org/package/2006/relationships"><Relationship Id="rId1" Type="http://schemas.openxmlformats.org/officeDocument/2006/relationships/hyperlink" Target="#Hovedside!A1"/></Relationships>
</file>

<file path=xl/drawings/_rels/drawing5.xml.rels><?xml version="1.0" encoding="UTF-8" standalone="yes"?>
<Relationships xmlns="http://schemas.openxmlformats.org/package/2006/relationships"><Relationship Id="rId1" Type="http://schemas.openxmlformats.org/officeDocument/2006/relationships/hyperlink" Target="#Hovedside!A1"/></Relationships>
</file>

<file path=xl/drawings/_rels/drawing6.xml.rels><?xml version="1.0" encoding="UTF-8" standalone="yes"?>
<Relationships xmlns="http://schemas.openxmlformats.org/package/2006/relationships"><Relationship Id="rId1" Type="http://schemas.openxmlformats.org/officeDocument/2006/relationships/hyperlink" Target="#Hovedside!A1"/></Relationships>
</file>

<file path=xl/drawings/_rels/drawing7.xml.rels><?xml version="1.0" encoding="UTF-8" standalone="yes"?>
<Relationships xmlns="http://schemas.openxmlformats.org/package/2006/relationships"><Relationship Id="rId1" Type="http://schemas.openxmlformats.org/officeDocument/2006/relationships/hyperlink" Target="#Hovedside!A1"/></Relationships>
</file>

<file path=xl/drawings/_rels/drawing8.xml.rels><?xml version="1.0" encoding="UTF-8" standalone="yes"?>
<Relationships xmlns="http://schemas.openxmlformats.org/package/2006/relationships"><Relationship Id="rId1" Type="http://schemas.openxmlformats.org/officeDocument/2006/relationships/hyperlink" Target="#Hovedside!A1"/></Relationships>
</file>

<file path=xl/drawings/_rels/drawing9.xml.rels><?xml version="1.0" encoding="UTF-8" standalone="yes"?>
<Relationships xmlns="http://schemas.openxmlformats.org/package/2006/relationships"><Relationship Id="rId1" Type="http://schemas.openxmlformats.org/officeDocument/2006/relationships/hyperlink" Target="#Hovedside!A1"/></Relationships>
</file>

<file path=xl/drawings/drawing1.xml><?xml version="1.0" encoding="utf-8"?>
<xdr:wsDr xmlns:xdr="http://schemas.openxmlformats.org/drawingml/2006/spreadsheetDrawing" xmlns:a="http://schemas.openxmlformats.org/drawingml/2006/main">
  <xdr:twoCellAnchor>
    <xdr:from>
      <xdr:col>1</xdr:col>
      <xdr:colOff>762000</xdr:colOff>
      <xdr:row>4</xdr:row>
      <xdr:rowOff>57150</xdr:rowOff>
    </xdr:from>
    <xdr:to>
      <xdr:col>1</xdr:col>
      <xdr:colOff>1685925</xdr:colOff>
      <xdr:row>4</xdr:row>
      <xdr:rowOff>695325</xdr:rowOff>
    </xdr:to>
    <xdr:sp macro="" textlink="">
      <xdr:nvSpPr>
        <xdr:cNvPr id="7" name="Pil ned 6">
          <a:extLst>
            <a:ext uri="{FF2B5EF4-FFF2-40B4-BE49-F238E27FC236}">
              <a16:creationId xmlns:a16="http://schemas.microsoft.com/office/drawing/2014/main" id="{00000000-0008-0000-0000-000007000000}"/>
            </a:ext>
          </a:extLst>
        </xdr:cNvPr>
        <xdr:cNvSpPr/>
      </xdr:nvSpPr>
      <xdr:spPr>
        <a:xfrm>
          <a:off x="1524000" y="542925"/>
          <a:ext cx="923925" cy="638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6</xdr:col>
      <xdr:colOff>914400</xdr:colOff>
      <xdr:row>4</xdr:row>
      <xdr:rowOff>28575</xdr:rowOff>
    </xdr:from>
    <xdr:to>
      <xdr:col>6</xdr:col>
      <xdr:colOff>1838325</xdr:colOff>
      <xdr:row>4</xdr:row>
      <xdr:rowOff>666750</xdr:rowOff>
    </xdr:to>
    <xdr:sp macro="" textlink="">
      <xdr:nvSpPr>
        <xdr:cNvPr id="3" name="Pil ned 2">
          <a:extLst>
            <a:ext uri="{FF2B5EF4-FFF2-40B4-BE49-F238E27FC236}">
              <a16:creationId xmlns:a16="http://schemas.microsoft.com/office/drawing/2014/main" id="{00000000-0008-0000-0000-000003000000}"/>
            </a:ext>
          </a:extLst>
        </xdr:cNvPr>
        <xdr:cNvSpPr/>
      </xdr:nvSpPr>
      <xdr:spPr>
        <a:xfrm>
          <a:off x="7229475" y="514350"/>
          <a:ext cx="923925" cy="638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352424</xdr:colOff>
      <xdr:row>0</xdr:row>
      <xdr:rowOff>142875</xdr:rowOff>
    </xdr:from>
    <xdr:to>
      <xdr:col>2</xdr:col>
      <xdr:colOff>2609849</xdr:colOff>
      <xdr:row>0</xdr:row>
      <xdr:rowOff>438150</xdr:rowOff>
    </xdr:to>
    <xdr:sp macro="" textlink="">
      <xdr:nvSpPr>
        <xdr:cNvPr id="2" name="Avrundet rektangel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2085974" y="142875"/>
          <a:ext cx="2257425"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400"/>
            <a:t>Tilbake  til  hovedsiden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123826</xdr:colOff>
      <xdr:row>0</xdr:row>
      <xdr:rowOff>123825</xdr:rowOff>
    </xdr:from>
    <xdr:to>
      <xdr:col>2</xdr:col>
      <xdr:colOff>2457450</xdr:colOff>
      <xdr:row>0</xdr:row>
      <xdr:rowOff>419100</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905001" y="123825"/>
          <a:ext cx="2333624"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400"/>
            <a:t>Tilbake  til  hovedsiden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247650</xdr:colOff>
      <xdr:row>0</xdr:row>
      <xdr:rowOff>133351</xdr:rowOff>
    </xdr:from>
    <xdr:to>
      <xdr:col>2</xdr:col>
      <xdr:colOff>2209799</xdr:colOff>
      <xdr:row>0</xdr:row>
      <xdr:rowOff>390525</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1790700" y="133351"/>
          <a:ext cx="1962149" cy="2571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400"/>
            <a:t>Tilbake  til  hovedsiden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371473</xdr:colOff>
      <xdr:row>0</xdr:row>
      <xdr:rowOff>114300</xdr:rowOff>
    </xdr:from>
    <xdr:to>
      <xdr:col>2</xdr:col>
      <xdr:colOff>2409825</xdr:colOff>
      <xdr:row>0</xdr:row>
      <xdr:rowOff>390525</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2552698" y="114300"/>
          <a:ext cx="2038352"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400"/>
            <a:t>Tilbake  til  hovedsiden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165735</xdr:colOff>
      <xdr:row>0</xdr:row>
      <xdr:rowOff>121921</xdr:rowOff>
    </xdr:from>
    <xdr:to>
      <xdr:col>2</xdr:col>
      <xdr:colOff>2468881</xdr:colOff>
      <xdr:row>0</xdr:row>
      <xdr:rowOff>407670</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2101215" y="121921"/>
          <a:ext cx="2303146" cy="28574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400"/>
            <a:t>Tilbake  til  hovedsiden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638175</xdr:colOff>
      <xdr:row>0</xdr:row>
      <xdr:rowOff>95250</xdr:rowOff>
    </xdr:from>
    <xdr:to>
      <xdr:col>2</xdr:col>
      <xdr:colOff>2609850</xdr:colOff>
      <xdr:row>0</xdr:row>
      <xdr:rowOff>390525</xdr:rowOff>
    </xdr:to>
    <xdr:sp macro="" textlink="">
      <xdr:nvSpPr>
        <xdr:cNvPr id="2" name="Avrundet rektangel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2295525" y="95250"/>
          <a:ext cx="1971675"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400"/>
            <a:t>Tilbake  til  hovedsiden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228600</xdr:colOff>
      <xdr:row>0</xdr:row>
      <xdr:rowOff>142875</xdr:rowOff>
    </xdr:from>
    <xdr:to>
      <xdr:col>1</xdr:col>
      <xdr:colOff>600075</xdr:colOff>
      <xdr:row>0</xdr:row>
      <xdr:rowOff>762000</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228600" y="142875"/>
          <a:ext cx="1381125" cy="619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400"/>
            <a:t>Tilbake  til  hovedsiden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219074</xdr:colOff>
      <xdr:row>0</xdr:row>
      <xdr:rowOff>104775</xdr:rowOff>
    </xdr:from>
    <xdr:to>
      <xdr:col>1</xdr:col>
      <xdr:colOff>1495425</xdr:colOff>
      <xdr:row>0</xdr:row>
      <xdr:rowOff>714375</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219074" y="104775"/>
          <a:ext cx="1276351" cy="609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400"/>
            <a:t>Tilbake  til  hovedsiden</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H20"/>
  <sheetViews>
    <sheetView tabSelected="1" workbookViewId="0">
      <selection activeCell="E6" sqref="E6"/>
    </sheetView>
  </sheetViews>
  <sheetFormatPr baseColWidth="10" defaultRowHeight="14.4" x14ac:dyDescent="0.3"/>
  <cols>
    <col min="2" max="2" width="69.33203125" customWidth="1"/>
    <col min="3" max="3" width="34.5546875" customWidth="1"/>
    <col min="4" max="4" width="25.44140625" customWidth="1"/>
    <col min="5" max="5" width="26" customWidth="1"/>
    <col min="6" max="6" width="1.5546875" style="1" customWidth="1"/>
    <col min="7" max="7" width="41.44140625" customWidth="1"/>
  </cols>
  <sheetData>
    <row r="1" spans="1:8" s="1" customFormat="1" ht="57.75" customHeight="1" x14ac:dyDescent="0.3">
      <c r="A1" s="13" t="s">
        <v>37</v>
      </c>
      <c r="B1" s="345" t="s">
        <v>49</v>
      </c>
      <c r="C1" s="346"/>
      <c r="D1" s="346"/>
      <c r="E1" s="346"/>
      <c r="F1" s="346"/>
      <c r="G1" s="346"/>
      <c r="H1" s="13"/>
    </row>
    <row r="2" spans="1:8" s="1" customFormat="1" ht="25.8" x14ac:dyDescent="0.5">
      <c r="A2" s="13"/>
      <c r="B2" s="18" t="s">
        <v>35</v>
      </c>
      <c r="C2" s="344"/>
      <c r="D2" s="344"/>
      <c r="E2" s="13"/>
      <c r="F2" s="13"/>
      <c r="G2" s="13"/>
      <c r="H2" s="13"/>
    </row>
    <row r="3" spans="1:8" s="1" customFormat="1" ht="25.8" x14ac:dyDescent="0.5">
      <c r="A3" s="13"/>
      <c r="B3" s="18" t="s">
        <v>36</v>
      </c>
      <c r="C3" s="116"/>
      <c r="D3" s="19"/>
      <c r="E3" s="14"/>
      <c r="F3" s="14"/>
      <c r="G3" s="13"/>
      <c r="H3" s="13"/>
    </row>
    <row r="4" spans="1:8" ht="23.4" x14ac:dyDescent="0.35">
      <c r="A4" s="14"/>
      <c r="B4" s="15" t="s">
        <v>0</v>
      </c>
      <c r="C4" s="14"/>
      <c r="D4" s="14"/>
      <c r="E4" s="119" t="s">
        <v>82</v>
      </c>
      <c r="F4" s="14"/>
      <c r="G4" s="15" t="s">
        <v>25</v>
      </c>
      <c r="H4" s="14"/>
    </row>
    <row r="5" spans="1:8" ht="150" customHeight="1" x14ac:dyDescent="0.3">
      <c r="A5" s="14"/>
      <c r="B5" s="14"/>
      <c r="C5" s="16" t="s">
        <v>63</v>
      </c>
      <c r="D5" s="16" t="s">
        <v>64</v>
      </c>
      <c r="E5" s="16" t="s">
        <v>83</v>
      </c>
      <c r="F5" s="14"/>
      <c r="G5" s="14"/>
      <c r="H5" s="14"/>
    </row>
    <row r="6" spans="1:8" ht="21" x14ac:dyDescent="0.4">
      <c r="A6" s="14"/>
      <c r="B6" s="148" t="s">
        <v>104</v>
      </c>
      <c r="C6" s="20">
        <f>Renholdsrekvisita!M39</f>
        <v>0</v>
      </c>
      <c r="D6" s="21">
        <f>Renholdsrekvisita!M40</f>
        <v>0</v>
      </c>
      <c r="E6" s="40">
        <v>0</v>
      </c>
      <c r="F6" s="14"/>
      <c r="G6" s="23" t="s">
        <v>7</v>
      </c>
      <c r="H6" s="14"/>
    </row>
    <row r="7" spans="1:8" ht="21" x14ac:dyDescent="0.4">
      <c r="A7" s="14"/>
      <c r="B7" s="167" t="s">
        <v>105</v>
      </c>
      <c r="C7" s="20">
        <f>Rengjøringsmaskiner!M21</f>
        <v>0</v>
      </c>
      <c r="D7" s="22">
        <f>Rengjøringsmaskiner!M22</f>
        <v>0</v>
      </c>
      <c r="E7" s="40">
        <v>0</v>
      </c>
      <c r="F7" s="14"/>
      <c r="G7" s="23" t="s">
        <v>34</v>
      </c>
      <c r="H7" s="14"/>
    </row>
    <row r="8" spans="1:8" ht="18" x14ac:dyDescent="0.35">
      <c r="A8" s="14"/>
      <c r="B8" s="155" t="s">
        <v>106</v>
      </c>
      <c r="C8" s="20">
        <f>Renholdsmidler!M51</f>
        <v>0</v>
      </c>
      <c r="D8" s="21">
        <f>Renholdsmidler!M52</f>
        <v>0</v>
      </c>
      <c r="E8" s="40">
        <v>0</v>
      </c>
      <c r="F8" s="14"/>
      <c r="G8" s="17"/>
      <c r="H8" s="14"/>
    </row>
    <row r="9" spans="1:8" ht="18" x14ac:dyDescent="0.35">
      <c r="A9" s="14"/>
      <c r="B9" s="155" t="s">
        <v>107</v>
      </c>
      <c r="C9" s="20">
        <f>Avfallshåndtering!M17</f>
        <v>0</v>
      </c>
      <c r="D9" s="21">
        <f>Avfallshåndtering!M18</f>
        <v>0</v>
      </c>
      <c r="E9" s="40">
        <v>0</v>
      </c>
      <c r="F9" s="14"/>
      <c r="G9" s="17"/>
      <c r="H9" s="14"/>
    </row>
    <row r="10" spans="1:8" ht="18" x14ac:dyDescent="0.35">
      <c r="A10" s="14"/>
      <c r="B10" s="155" t="s">
        <v>108</v>
      </c>
      <c r="C10" s="20">
        <f>'Matter og sklisikring'!M7</f>
        <v>0</v>
      </c>
      <c r="D10" s="21">
        <f>'Matter og sklisikring'!M8</f>
        <v>0</v>
      </c>
      <c r="E10" s="40">
        <v>0</v>
      </c>
      <c r="F10" s="14"/>
      <c r="G10" s="17"/>
      <c r="H10" s="14"/>
    </row>
    <row r="11" spans="1:8" s="46" customFormat="1" ht="18" x14ac:dyDescent="0.35">
      <c r="A11" s="14"/>
      <c r="B11" s="155" t="s">
        <v>111</v>
      </c>
      <c r="C11" s="20">
        <f>'tørk og hyggiene'!M80</f>
        <v>0</v>
      </c>
      <c r="D11" s="21">
        <f>'tørk og hyggiene'!M81</f>
        <v>0</v>
      </c>
      <c r="E11" s="40">
        <v>0</v>
      </c>
      <c r="F11" s="14"/>
      <c r="G11" s="17"/>
      <c r="H11" s="14"/>
    </row>
    <row r="12" spans="1:8" ht="21" x14ac:dyDescent="0.4">
      <c r="A12" s="14"/>
      <c r="B12" s="26" t="s">
        <v>6</v>
      </c>
      <c r="C12" s="20">
        <f>SUM(C6:C11)</f>
        <v>0</v>
      </c>
      <c r="D12" s="24"/>
      <c r="E12" s="25"/>
      <c r="F12" s="14"/>
      <c r="G12" s="17"/>
      <c r="H12" s="14"/>
    </row>
    <row r="13" spans="1:8" x14ac:dyDescent="0.3">
      <c r="A13" s="14"/>
      <c r="B13" s="14"/>
      <c r="C13" s="14"/>
      <c r="D13" s="14"/>
      <c r="E13" s="14"/>
      <c r="F13" s="14"/>
      <c r="G13" s="14"/>
      <c r="H13" s="14"/>
    </row>
    <row r="14" spans="1:8" x14ac:dyDescent="0.3">
      <c r="A14" s="14"/>
      <c r="B14" s="14"/>
      <c r="C14" s="14"/>
      <c r="D14" s="14"/>
      <c r="E14" s="14"/>
      <c r="F14" s="14"/>
      <c r="G14" s="14"/>
      <c r="H14" s="14"/>
    </row>
    <row r="15" spans="1:8" x14ac:dyDescent="0.3">
      <c r="A15" s="14"/>
      <c r="B15" s="14"/>
      <c r="C15" s="14"/>
      <c r="D15" s="14"/>
      <c r="E15" s="14"/>
      <c r="F15" s="14"/>
      <c r="G15" s="14"/>
      <c r="H15" s="14"/>
    </row>
    <row r="18" spans="3:3" x14ac:dyDescent="0.3">
      <c r="C18" s="41"/>
    </row>
    <row r="20" spans="3:3" x14ac:dyDescent="0.3">
      <c r="C20" s="42"/>
    </row>
  </sheetData>
  <sheetProtection algorithmName="SHA-512" hashValue="rdp/Yy3pfLrLKfn29JXiIvEjTnNuTo4btkiyTA7DHC5kkyiC9duYtEI2sIFH4jpLUXFrswrjH7+yy102YZO5NA==" saltValue="ILXUcWgctBl/chbRX5QpNw==" spinCount="100000" sheet="1" objects="1" scenarios="1"/>
  <mergeCells count="2">
    <mergeCell ref="C2:D2"/>
    <mergeCell ref="B1:G1"/>
  </mergeCells>
  <hyperlinks>
    <hyperlink ref="B7" location="Rengjøringsmaskiner!A1" display="Rengjøringsmaskiner" xr:uid="{00000000-0004-0000-0000-000000000000}"/>
    <hyperlink ref="B9" location="Avfallshåndtering!A1" display="Avfallshåndtering" xr:uid="{00000000-0004-0000-0000-000001000000}"/>
    <hyperlink ref="B10" location="'Matter og sklisikring'!A1" display="Matter og sklisikring" xr:uid="{00000000-0004-0000-0000-000002000000}"/>
    <hyperlink ref="G6" location="Forklaring!A1" display="Prisarkenes oppbygging" xr:uid="{00000000-0004-0000-0000-000003000000}"/>
    <hyperlink ref="G7" location="'Evaluering '!A1" display="Evaluering " xr:uid="{00000000-0004-0000-0000-000004000000}"/>
    <hyperlink ref="B6" location="Renholdsrekvisita!A1" display="Renholdsrekvisita" xr:uid="{00000000-0004-0000-0000-000005000000}"/>
    <hyperlink ref="B8" location="Renholdsmidler!A1" display="Renholdsmidler" xr:uid="{00000000-0004-0000-0000-000006000000}"/>
    <hyperlink ref="B11" location="'Interiør og møbler'!A1" display="Interiør og møbler" xr:uid="{00000000-0004-0000-0000-000007000000}"/>
    <hyperlink ref="B11" location="'tørk og hyggiene'!A1" display="Tørk og hyggiene" xr:uid="{00000000-0004-0000-0000-000008000000}"/>
  </hyperlinks>
  <pageMargins left="0.7" right="0.7" top="0.78740157499999996" bottom="0.78740157499999996" header="0.3" footer="0.3"/>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3">
    <pageSetUpPr fitToPage="1"/>
  </sheetPr>
  <dimension ref="A1:Q42"/>
  <sheetViews>
    <sheetView topLeftCell="D1" workbookViewId="0">
      <pane ySplit="1" topLeftCell="A25" activePane="bottomLeft" state="frozen"/>
      <selection pane="bottomLeft" activeCell="O39" sqref="O39"/>
    </sheetView>
  </sheetViews>
  <sheetFormatPr baseColWidth="10" defaultColWidth="11.44140625" defaultRowHeight="13.8" x14ac:dyDescent="0.25"/>
  <cols>
    <col min="1" max="1" width="6.5546875" style="66" customWidth="1"/>
    <col min="2" max="2" width="16.5546875" style="66" customWidth="1"/>
    <col min="3" max="3" width="73.6640625" style="64" bestFit="1" customWidth="1"/>
    <col min="4" max="4" width="9.33203125" style="64" customWidth="1"/>
    <col min="5" max="7" width="8.44140625" style="64" customWidth="1"/>
    <col min="8" max="8" width="17.109375" style="64" customWidth="1"/>
    <col min="9" max="9" width="41.44140625" style="64" customWidth="1"/>
    <col min="10" max="10" width="13" style="64" customWidth="1"/>
    <col min="11" max="11" width="17" style="64" customWidth="1"/>
    <col min="12" max="12" width="13.6640625" style="64" bestFit="1" customWidth="1"/>
    <col min="13" max="13" width="17" style="64" customWidth="1"/>
    <col min="14" max="14" width="18" style="64" customWidth="1"/>
    <col min="15" max="15" width="19.6640625" style="64" customWidth="1"/>
    <col min="16" max="16" width="20.109375" style="64" customWidth="1"/>
    <col min="17" max="17" width="16.33203125" style="64" customWidth="1"/>
    <col min="18" max="16384" width="11.44140625" style="64"/>
  </cols>
  <sheetData>
    <row r="1" spans="1:17" ht="110.4" x14ac:dyDescent="0.3">
      <c r="A1" s="74" t="s">
        <v>12</v>
      </c>
      <c r="B1" s="44" t="s">
        <v>86</v>
      </c>
      <c r="C1" s="93" t="s">
        <v>54</v>
      </c>
      <c r="D1" s="74" t="s">
        <v>65</v>
      </c>
      <c r="E1" s="74" t="s">
        <v>43</v>
      </c>
      <c r="F1" s="48" t="s">
        <v>207</v>
      </c>
      <c r="G1" s="48" t="s">
        <v>221</v>
      </c>
      <c r="H1" s="75" t="s">
        <v>53</v>
      </c>
      <c r="I1" s="75" t="s">
        <v>52</v>
      </c>
      <c r="J1" s="88" t="s">
        <v>249</v>
      </c>
      <c r="K1" s="76" t="s">
        <v>250</v>
      </c>
      <c r="L1" s="75" t="s">
        <v>67</v>
      </c>
      <c r="M1" s="86" t="s">
        <v>73</v>
      </c>
      <c r="N1" s="85" t="s">
        <v>45</v>
      </c>
      <c r="O1" s="85" t="s">
        <v>3</v>
      </c>
      <c r="P1" s="138" t="s">
        <v>90</v>
      </c>
      <c r="Q1" s="143" t="s">
        <v>92</v>
      </c>
    </row>
    <row r="2" spans="1:17" ht="15.6" x14ac:dyDescent="0.3">
      <c r="A2" s="94">
        <f>1</f>
        <v>1</v>
      </c>
      <c r="B2" s="197">
        <v>344293</v>
      </c>
      <c r="C2" s="160" t="s">
        <v>286</v>
      </c>
      <c r="D2" s="152">
        <v>15</v>
      </c>
      <c r="E2" s="152" t="s">
        <v>112</v>
      </c>
      <c r="F2" s="249">
        <f>D2</f>
        <v>15</v>
      </c>
      <c r="G2" s="249" t="s">
        <v>112</v>
      </c>
      <c r="H2" s="144"/>
      <c r="I2" s="65"/>
      <c r="J2" s="65"/>
      <c r="K2" s="103">
        <v>0</v>
      </c>
      <c r="L2" s="71">
        <v>0</v>
      </c>
      <c r="M2" s="102">
        <f t="shared" ref="M2:M38" si="0">K2+ K2*L2</f>
        <v>0</v>
      </c>
      <c r="N2" s="108">
        <f t="shared" ref="N2:N38" si="1">M2*J2</f>
        <v>0</v>
      </c>
      <c r="O2" s="73">
        <f t="shared" ref="O2:O38" si="2">M2*F2</f>
        <v>0</v>
      </c>
      <c r="P2" s="295"/>
      <c r="Q2" s="98"/>
    </row>
    <row r="3" spans="1:17" ht="15.6" x14ac:dyDescent="0.3">
      <c r="A3" s="94">
        <f t="shared" ref="A3:A38" si="3">A2+1</f>
        <v>2</v>
      </c>
      <c r="B3" s="196">
        <v>71252</v>
      </c>
      <c r="C3" s="159" t="s">
        <v>287</v>
      </c>
      <c r="D3" s="152">
        <v>2</v>
      </c>
      <c r="E3" s="152" t="s">
        <v>109</v>
      </c>
      <c r="F3" s="249">
        <f>D3*10</f>
        <v>20</v>
      </c>
      <c r="G3" s="249" t="s">
        <v>222</v>
      </c>
      <c r="H3" s="144"/>
      <c r="I3" s="65"/>
      <c r="J3" s="65"/>
      <c r="K3" s="103">
        <v>0</v>
      </c>
      <c r="L3" s="71">
        <v>0</v>
      </c>
      <c r="M3" s="102">
        <f t="shared" si="0"/>
        <v>0</v>
      </c>
      <c r="N3" s="108">
        <f t="shared" si="1"/>
        <v>0</v>
      </c>
      <c r="O3" s="73">
        <f t="shared" si="2"/>
        <v>0</v>
      </c>
      <c r="P3" s="65"/>
      <c r="Q3" s="98"/>
    </row>
    <row r="4" spans="1:17" ht="15.6" x14ac:dyDescent="0.3">
      <c r="A4" s="94">
        <f t="shared" si="3"/>
        <v>3</v>
      </c>
      <c r="B4" s="197">
        <v>285099</v>
      </c>
      <c r="C4" s="160" t="s">
        <v>288</v>
      </c>
      <c r="D4" s="152">
        <v>7</v>
      </c>
      <c r="E4" s="152" t="s">
        <v>112</v>
      </c>
      <c r="F4" s="249">
        <v>7</v>
      </c>
      <c r="G4" s="249" t="s">
        <v>222</v>
      </c>
      <c r="H4" s="144"/>
      <c r="I4" s="65"/>
      <c r="J4" s="65"/>
      <c r="K4" s="103">
        <v>0</v>
      </c>
      <c r="L4" s="71">
        <v>0</v>
      </c>
      <c r="M4" s="102">
        <f t="shared" si="0"/>
        <v>0</v>
      </c>
      <c r="N4" s="108">
        <f t="shared" si="1"/>
        <v>0</v>
      </c>
      <c r="O4" s="73">
        <f t="shared" si="2"/>
        <v>0</v>
      </c>
      <c r="P4" s="65"/>
      <c r="Q4" s="98"/>
    </row>
    <row r="5" spans="1:17" ht="15.6" x14ac:dyDescent="0.3">
      <c r="A5" s="94">
        <f t="shared" si="3"/>
        <v>4</v>
      </c>
      <c r="B5" s="196">
        <v>327865</v>
      </c>
      <c r="C5" s="159" t="s">
        <v>289</v>
      </c>
      <c r="D5" s="152">
        <v>3</v>
      </c>
      <c r="E5" s="152" t="s">
        <v>117</v>
      </c>
      <c r="F5" s="249">
        <f>D5*100</f>
        <v>300</v>
      </c>
      <c r="G5" s="249" t="s">
        <v>112</v>
      </c>
      <c r="H5" s="144"/>
      <c r="I5" s="65"/>
      <c r="J5" s="65"/>
      <c r="K5" s="103">
        <v>0</v>
      </c>
      <c r="L5" s="71">
        <v>0</v>
      </c>
      <c r="M5" s="102">
        <f t="shared" si="0"/>
        <v>0</v>
      </c>
      <c r="N5" s="108">
        <f t="shared" si="1"/>
        <v>0</v>
      </c>
      <c r="O5" s="73">
        <f t="shared" si="2"/>
        <v>0</v>
      </c>
      <c r="P5" s="65"/>
      <c r="Q5" s="98"/>
    </row>
    <row r="6" spans="1:17" ht="15.6" x14ac:dyDescent="0.3">
      <c r="A6" s="94">
        <f t="shared" si="3"/>
        <v>5</v>
      </c>
      <c r="B6" s="196">
        <v>84592</v>
      </c>
      <c r="C6" s="159" t="s">
        <v>290</v>
      </c>
      <c r="D6" s="133">
        <v>10</v>
      </c>
      <c r="E6" s="149" t="s">
        <v>112</v>
      </c>
      <c r="F6" s="251">
        <v>10</v>
      </c>
      <c r="G6" s="249" t="s">
        <v>222</v>
      </c>
      <c r="H6" s="121"/>
      <c r="I6" s="98"/>
      <c r="J6" s="81"/>
      <c r="K6" s="103">
        <v>0</v>
      </c>
      <c r="L6" s="71">
        <v>0</v>
      </c>
      <c r="M6" s="102">
        <f t="shared" si="0"/>
        <v>0</v>
      </c>
      <c r="N6" s="108">
        <f t="shared" si="1"/>
        <v>0</v>
      </c>
      <c r="O6" s="73">
        <f t="shared" si="2"/>
        <v>0</v>
      </c>
      <c r="P6" s="65"/>
      <c r="Q6" s="98"/>
    </row>
    <row r="7" spans="1:17" ht="15.75" customHeight="1" x14ac:dyDescent="0.3">
      <c r="A7" s="94">
        <f t="shared" si="3"/>
        <v>6</v>
      </c>
      <c r="B7" s="197">
        <v>69656</v>
      </c>
      <c r="C7" s="160" t="s">
        <v>291</v>
      </c>
      <c r="D7" s="152">
        <v>8</v>
      </c>
      <c r="E7" s="152" t="s">
        <v>109</v>
      </c>
      <c r="F7" s="249">
        <f>8*5*12</f>
        <v>480</v>
      </c>
      <c r="G7" s="249" t="s">
        <v>222</v>
      </c>
      <c r="H7" s="144"/>
      <c r="I7" s="65"/>
      <c r="J7" s="81"/>
      <c r="K7" s="103">
        <v>0</v>
      </c>
      <c r="L7" s="71">
        <v>0</v>
      </c>
      <c r="M7" s="102">
        <f t="shared" si="0"/>
        <v>0</v>
      </c>
      <c r="N7" s="108">
        <f t="shared" si="1"/>
        <v>0</v>
      </c>
      <c r="O7" s="73">
        <f t="shared" si="2"/>
        <v>0</v>
      </c>
      <c r="P7" s="65"/>
      <c r="Q7" s="98"/>
    </row>
    <row r="8" spans="1:17" ht="15.6" x14ac:dyDescent="0.3">
      <c r="A8" s="94">
        <f t="shared" si="3"/>
        <v>7</v>
      </c>
      <c r="B8" s="292">
        <v>47115</v>
      </c>
      <c r="C8" s="291" t="s">
        <v>230</v>
      </c>
      <c r="D8" s="184">
        <v>17</v>
      </c>
      <c r="E8" s="184" t="s">
        <v>272</v>
      </c>
      <c r="F8" s="249">
        <f>D8*1</f>
        <v>17</v>
      </c>
      <c r="G8" s="249" t="s">
        <v>112</v>
      </c>
      <c r="H8" s="144"/>
      <c r="I8" s="65"/>
      <c r="J8" s="65"/>
      <c r="K8" s="103">
        <v>0</v>
      </c>
      <c r="L8" s="71">
        <v>0</v>
      </c>
      <c r="M8" s="102">
        <f t="shared" si="0"/>
        <v>0</v>
      </c>
      <c r="N8" s="108">
        <f t="shared" si="1"/>
        <v>0</v>
      </c>
      <c r="O8" s="73">
        <f t="shared" si="2"/>
        <v>0</v>
      </c>
      <c r="P8" s="65"/>
      <c r="Q8" s="98"/>
    </row>
    <row r="9" spans="1:17" ht="15.6" x14ac:dyDescent="0.3">
      <c r="A9" s="94">
        <f t="shared" si="3"/>
        <v>8</v>
      </c>
      <c r="B9" s="197">
        <v>77437</v>
      </c>
      <c r="C9" s="160" t="s">
        <v>292</v>
      </c>
      <c r="D9" s="152">
        <v>2</v>
      </c>
      <c r="E9" s="152" t="s">
        <v>109</v>
      </c>
      <c r="F9" s="249">
        <f>D9*10</f>
        <v>20</v>
      </c>
      <c r="G9" s="249" t="s">
        <v>112</v>
      </c>
      <c r="H9" s="144"/>
      <c r="I9" s="65"/>
      <c r="J9" s="65"/>
      <c r="K9" s="103">
        <v>0</v>
      </c>
      <c r="L9" s="71">
        <v>0</v>
      </c>
      <c r="M9" s="102">
        <f t="shared" si="0"/>
        <v>0</v>
      </c>
      <c r="N9" s="108">
        <f t="shared" si="1"/>
        <v>0</v>
      </c>
      <c r="O9" s="73">
        <f t="shared" si="2"/>
        <v>0</v>
      </c>
      <c r="P9" s="65"/>
      <c r="Q9" s="98"/>
    </row>
    <row r="10" spans="1:17" ht="15.6" x14ac:dyDescent="0.3">
      <c r="A10" s="94">
        <f t="shared" si="3"/>
        <v>9</v>
      </c>
      <c r="B10" s="197">
        <v>77439</v>
      </c>
      <c r="C10" s="160" t="s">
        <v>293</v>
      </c>
      <c r="D10" s="152">
        <v>1</v>
      </c>
      <c r="E10" s="152" t="s">
        <v>109</v>
      </c>
      <c r="F10" s="249">
        <f>D10*10</f>
        <v>10</v>
      </c>
      <c r="G10" s="249" t="s">
        <v>112</v>
      </c>
      <c r="H10" s="144"/>
      <c r="I10" s="65"/>
      <c r="J10" s="65"/>
      <c r="K10" s="103">
        <v>0</v>
      </c>
      <c r="L10" s="71">
        <v>0</v>
      </c>
      <c r="M10" s="102">
        <f t="shared" si="0"/>
        <v>0</v>
      </c>
      <c r="N10" s="108">
        <f t="shared" si="1"/>
        <v>0</v>
      </c>
      <c r="O10" s="73">
        <f t="shared" si="2"/>
        <v>0</v>
      </c>
      <c r="P10" s="65"/>
      <c r="Q10" s="98"/>
    </row>
    <row r="11" spans="1:17" ht="15.6" x14ac:dyDescent="0.3">
      <c r="A11" s="94">
        <f t="shared" si="3"/>
        <v>10</v>
      </c>
      <c r="B11" s="196">
        <v>71927</v>
      </c>
      <c r="C11" s="159" t="s">
        <v>294</v>
      </c>
      <c r="D11" s="152">
        <v>10</v>
      </c>
      <c r="E11" s="152" t="s">
        <v>112</v>
      </c>
      <c r="F11" s="249">
        <f>D11</f>
        <v>10</v>
      </c>
      <c r="G11" s="249" t="s">
        <v>222</v>
      </c>
      <c r="H11" s="144"/>
      <c r="I11" s="65"/>
      <c r="J11" s="65"/>
      <c r="K11" s="103">
        <v>0</v>
      </c>
      <c r="L11" s="71">
        <v>0</v>
      </c>
      <c r="M11" s="102">
        <f t="shared" si="0"/>
        <v>0</v>
      </c>
      <c r="N11" s="108">
        <f t="shared" si="1"/>
        <v>0</v>
      </c>
      <c r="O11" s="73">
        <f t="shared" si="2"/>
        <v>0</v>
      </c>
      <c r="P11" s="65"/>
      <c r="Q11" s="98"/>
    </row>
    <row r="12" spans="1:17" ht="15.6" x14ac:dyDescent="0.3">
      <c r="A12" s="94">
        <f t="shared" si="3"/>
        <v>11</v>
      </c>
      <c r="B12" s="197">
        <v>401493</v>
      </c>
      <c r="C12" s="160" t="s">
        <v>295</v>
      </c>
      <c r="D12" s="183">
        <v>24</v>
      </c>
      <c r="E12" s="183" t="s">
        <v>112</v>
      </c>
      <c r="F12" s="249">
        <f>D12</f>
        <v>24</v>
      </c>
      <c r="G12" s="249" t="s">
        <v>112</v>
      </c>
      <c r="H12" s="144"/>
      <c r="I12" s="65"/>
      <c r="J12" s="65"/>
      <c r="K12" s="103">
        <v>0</v>
      </c>
      <c r="L12" s="71">
        <v>0</v>
      </c>
      <c r="M12" s="102">
        <f t="shared" si="0"/>
        <v>0</v>
      </c>
      <c r="N12" s="108">
        <f t="shared" si="1"/>
        <v>0</v>
      </c>
      <c r="O12" s="73">
        <f t="shared" si="2"/>
        <v>0</v>
      </c>
      <c r="P12" s="65"/>
      <c r="Q12" s="98"/>
    </row>
    <row r="13" spans="1:17" ht="15.6" x14ac:dyDescent="0.3">
      <c r="A13" s="94">
        <f t="shared" si="3"/>
        <v>12</v>
      </c>
      <c r="B13" s="335">
        <v>403831</v>
      </c>
      <c r="C13" s="291" t="s">
        <v>145</v>
      </c>
      <c r="D13" s="184">
        <v>10</v>
      </c>
      <c r="E13" s="184" t="s">
        <v>112</v>
      </c>
      <c r="F13" s="249">
        <f>D13</f>
        <v>10</v>
      </c>
      <c r="G13" s="249" t="s">
        <v>112</v>
      </c>
      <c r="H13" s="144"/>
      <c r="I13" s="65"/>
      <c r="J13" s="65"/>
      <c r="K13" s="103">
        <v>0</v>
      </c>
      <c r="L13" s="71">
        <v>0</v>
      </c>
      <c r="M13" s="102">
        <f t="shared" si="0"/>
        <v>0</v>
      </c>
      <c r="N13" s="108">
        <f t="shared" si="1"/>
        <v>0</v>
      </c>
      <c r="O13" s="73">
        <f t="shared" si="2"/>
        <v>0</v>
      </c>
      <c r="P13" s="65"/>
      <c r="Q13" s="98"/>
    </row>
    <row r="14" spans="1:17" ht="15.6" x14ac:dyDescent="0.3">
      <c r="A14" s="94">
        <f t="shared" si="3"/>
        <v>13</v>
      </c>
      <c r="B14" s="196">
        <v>330852</v>
      </c>
      <c r="C14" s="159" t="s">
        <v>296</v>
      </c>
      <c r="D14" s="152">
        <v>2</v>
      </c>
      <c r="E14" s="152" t="s">
        <v>109</v>
      </c>
      <c r="F14" s="249">
        <f>D14*8*10</f>
        <v>160</v>
      </c>
      <c r="G14" s="249" t="s">
        <v>112</v>
      </c>
      <c r="H14" s="144"/>
      <c r="I14" s="65"/>
      <c r="J14" s="65"/>
      <c r="K14" s="103">
        <v>0</v>
      </c>
      <c r="L14" s="71">
        <v>0</v>
      </c>
      <c r="M14" s="102">
        <f t="shared" si="0"/>
        <v>0</v>
      </c>
      <c r="N14" s="108">
        <f t="shared" si="1"/>
        <v>0</v>
      </c>
      <c r="O14" s="73">
        <f t="shared" si="2"/>
        <v>0</v>
      </c>
      <c r="P14" s="65"/>
      <c r="Q14" s="98"/>
    </row>
    <row r="15" spans="1:17" ht="15.6" x14ac:dyDescent="0.3">
      <c r="A15" s="94">
        <f t="shared" si="3"/>
        <v>14</v>
      </c>
      <c r="B15" s="197">
        <v>71024</v>
      </c>
      <c r="C15" s="160" t="s">
        <v>297</v>
      </c>
      <c r="D15" s="152">
        <v>10</v>
      </c>
      <c r="E15" s="152" t="s">
        <v>112</v>
      </c>
      <c r="F15" s="249">
        <v>10</v>
      </c>
      <c r="G15" s="249" t="s">
        <v>222</v>
      </c>
      <c r="H15" s="144"/>
      <c r="I15" s="65"/>
      <c r="J15" s="65"/>
      <c r="K15" s="103">
        <v>0</v>
      </c>
      <c r="L15" s="71">
        <v>0</v>
      </c>
      <c r="M15" s="102">
        <f t="shared" si="0"/>
        <v>0</v>
      </c>
      <c r="N15" s="108">
        <f t="shared" si="1"/>
        <v>0</v>
      </c>
      <c r="O15" s="73">
        <f t="shared" si="2"/>
        <v>0</v>
      </c>
      <c r="P15" s="65"/>
      <c r="Q15" s="98"/>
    </row>
    <row r="16" spans="1:17" ht="15.6" x14ac:dyDescent="0.3">
      <c r="A16" s="94">
        <f t="shared" si="3"/>
        <v>15</v>
      </c>
      <c r="B16" s="292">
        <v>325416</v>
      </c>
      <c r="C16" s="291" t="s">
        <v>229</v>
      </c>
      <c r="D16" s="184">
        <v>10</v>
      </c>
      <c r="E16" s="184" t="s">
        <v>109</v>
      </c>
      <c r="F16" s="249">
        <f>D16*5</f>
        <v>50</v>
      </c>
      <c r="G16" s="249" t="s">
        <v>112</v>
      </c>
      <c r="H16" s="144"/>
      <c r="I16" s="65"/>
      <c r="J16" s="65"/>
      <c r="K16" s="103">
        <v>0</v>
      </c>
      <c r="L16" s="71">
        <v>0</v>
      </c>
      <c r="M16" s="102">
        <f t="shared" si="0"/>
        <v>0</v>
      </c>
      <c r="N16" s="108">
        <f t="shared" si="1"/>
        <v>0</v>
      </c>
      <c r="O16" s="73">
        <f t="shared" si="2"/>
        <v>0</v>
      </c>
      <c r="P16" s="65"/>
      <c r="Q16" s="98"/>
    </row>
    <row r="17" spans="1:17" ht="15.6" x14ac:dyDescent="0.3">
      <c r="A17" s="94">
        <f t="shared" si="3"/>
        <v>16</v>
      </c>
      <c r="B17" s="197">
        <v>198830</v>
      </c>
      <c r="C17" s="160" t="s">
        <v>298</v>
      </c>
      <c r="D17" s="152">
        <v>20</v>
      </c>
      <c r="E17" s="153" t="s">
        <v>117</v>
      </c>
      <c r="F17" s="249">
        <f>D17*5</f>
        <v>100</v>
      </c>
      <c r="G17" s="253" t="s">
        <v>222</v>
      </c>
      <c r="H17" s="144"/>
      <c r="I17" s="65"/>
      <c r="J17" s="65"/>
      <c r="K17" s="103">
        <v>0</v>
      </c>
      <c r="L17" s="71">
        <v>0</v>
      </c>
      <c r="M17" s="102">
        <f t="shared" si="0"/>
        <v>0</v>
      </c>
      <c r="N17" s="108">
        <f t="shared" si="1"/>
        <v>0</v>
      </c>
      <c r="O17" s="73">
        <f t="shared" si="2"/>
        <v>0</v>
      </c>
      <c r="P17" s="65"/>
      <c r="Q17" s="98"/>
    </row>
    <row r="18" spans="1:17" ht="15.6" x14ac:dyDescent="0.3">
      <c r="A18" s="94">
        <f t="shared" si="3"/>
        <v>17</v>
      </c>
      <c r="B18" s="197">
        <v>397434</v>
      </c>
      <c r="C18" s="160" t="s">
        <v>299</v>
      </c>
      <c r="D18" s="152">
        <v>9</v>
      </c>
      <c r="E18" s="152" t="s">
        <v>140</v>
      </c>
      <c r="F18" s="249">
        <f>D18*10</f>
        <v>90</v>
      </c>
      <c r="G18" s="249" t="s">
        <v>112</v>
      </c>
      <c r="H18" s="144"/>
      <c r="I18" s="65"/>
      <c r="J18" s="65"/>
      <c r="K18" s="103">
        <v>0</v>
      </c>
      <c r="L18" s="71">
        <v>0</v>
      </c>
      <c r="M18" s="102">
        <f t="shared" si="0"/>
        <v>0</v>
      </c>
      <c r="N18" s="108">
        <f t="shared" si="1"/>
        <v>0</v>
      </c>
      <c r="O18" s="73">
        <f t="shared" si="2"/>
        <v>0</v>
      </c>
      <c r="P18" s="65"/>
      <c r="Q18" s="98"/>
    </row>
    <row r="19" spans="1:17" ht="15.6" x14ac:dyDescent="0.3">
      <c r="A19" s="94">
        <f t="shared" si="3"/>
        <v>18</v>
      </c>
      <c r="B19" s="197">
        <v>397432</v>
      </c>
      <c r="C19" s="160" t="s">
        <v>300</v>
      </c>
      <c r="D19" s="152">
        <v>9</v>
      </c>
      <c r="E19" s="152" t="s">
        <v>140</v>
      </c>
      <c r="F19" s="249">
        <f>D19*10</f>
        <v>90</v>
      </c>
      <c r="G19" s="249" t="s">
        <v>112</v>
      </c>
      <c r="H19" s="144"/>
      <c r="I19" s="65"/>
      <c r="J19" s="65"/>
      <c r="K19" s="103">
        <v>0</v>
      </c>
      <c r="L19" s="71">
        <v>0</v>
      </c>
      <c r="M19" s="102">
        <f t="shared" si="0"/>
        <v>0</v>
      </c>
      <c r="N19" s="108">
        <f t="shared" si="1"/>
        <v>0</v>
      </c>
      <c r="O19" s="73">
        <f t="shared" si="2"/>
        <v>0</v>
      </c>
      <c r="P19" s="65"/>
      <c r="Q19" s="98"/>
    </row>
    <row r="20" spans="1:17" ht="15.6" x14ac:dyDescent="0.3">
      <c r="A20" s="94">
        <f t="shared" si="3"/>
        <v>19</v>
      </c>
      <c r="B20" s="197">
        <v>254947</v>
      </c>
      <c r="C20" s="160" t="s">
        <v>301</v>
      </c>
      <c r="D20" s="152">
        <v>2</v>
      </c>
      <c r="E20" s="152" t="s">
        <v>140</v>
      </c>
      <c r="F20" s="249">
        <f>D20*5</f>
        <v>10</v>
      </c>
      <c r="G20" s="249" t="s">
        <v>222</v>
      </c>
      <c r="H20" s="144"/>
      <c r="I20" s="65"/>
      <c r="J20" s="65"/>
      <c r="K20" s="103">
        <v>0</v>
      </c>
      <c r="L20" s="71">
        <v>0</v>
      </c>
      <c r="M20" s="102">
        <f t="shared" si="0"/>
        <v>0</v>
      </c>
      <c r="N20" s="108">
        <f t="shared" si="1"/>
        <v>0</v>
      </c>
      <c r="O20" s="73">
        <f t="shared" si="2"/>
        <v>0</v>
      </c>
      <c r="P20" s="65"/>
      <c r="Q20" s="98"/>
    </row>
    <row r="21" spans="1:17" ht="15.6" x14ac:dyDescent="0.3">
      <c r="A21" s="94">
        <f t="shared" si="3"/>
        <v>20</v>
      </c>
      <c r="B21" s="196">
        <v>327098</v>
      </c>
      <c r="C21" s="159" t="s">
        <v>302</v>
      </c>
      <c r="D21" s="152">
        <v>21</v>
      </c>
      <c r="E21" s="152" t="s">
        <v>117</v>
      </c>
      <c r="F21" s="249">
        <f>D21*10</f>
        <v>210</v>
      </c>
      <c r="G21" s="249" t="s">
        <v>112</v>
      </c>
      <c r="H21" s="144"/>
      <c r="I21" s="65"/>
      <c r="J21" s="65"/>
      <c r="K21" s="103">
        <v>0</v>
      </c>
      <c r="L21" s="71">
        <v>0</v>
      </c>
      <c r="M21" s="102">
        <f t="shared" si="0"/>
        <v>0</v>
      </c>
      <c r="N21" s="108">
        <f t="shared" si="1"/>
        <v>0</v>
      </c>
      <c r="O21" s="73">
        <f t="shared" si="2"/>
        <v>0</v>
      </c>
      <c r="P21" s="65"/>
      <c r="Q21" s="98"/>
    </row>
    <row r="22" spans="1:17" ht="15.6" x14ac:dyDescent="0.3">
      <c r="A22" s="94">
        <f t="shared" si="3"/>
        <v>21</v>
      </c>
      <c r="B22" s="197">
        <v>339428</v>
      </c>
      <c r="C22" s="160" t="s">
        <v>303</v>
      </c>
      <c r="D22" s="152">
        <v>2</v>
      </c>
      <c r="E22" s="152" t="s">
        <v>112</v>
      </c>
      <c r="F22" s="249">
        <f>D22*1</f>
        <v>2</v>
      </c>
      <c r="G22" s="249" t="s">
        <v>222</v>
      </c>
      <c r="H22" s="144"/>
      <c r="I22" s="65"/>
      <c r="J22" s="65"/>
      <c r="K22" s="103">
        <v>0</v>
      </c>
      <c r="L22" s="71">
        <v>0</v>
      </c>
      <c r="M22" s="102">
        <f t="shared" si="0"/>
        <v>0</v>
      </c>
      <c r="N22" s="108">
        <f t="shared" si="1"/>
        <v>0</v>
      </c>
      <c r="O22" s="73">
        <f t="shared" si="2"/>
        <v>0</v>
      </c>
      <c r="P22" s="65"/>
      <c r="Q22" s="98"/>
    </row>
    <row r="23" spans="1:17" ht="15.6" x14ac:dyDescent="0.3">
      <c r="A23" s="94">
        <f t="shared" si="3"/>
        <v>22</v>
      </c>
      <c r="B23" s="197">
        <v>71699</v>
      </c>
      <c r="C23" s="160" t="s">
        <v>304</v>
      </c>
      <c r="D23" s="151">
        <v>23</v>
      </c>
      <c r="E23" s="151" t="s">
        <v>112</v>
      </c>
      <c r="F23" s="252">
        <v>12</v>
      </c>
      <c r="G23" s="249" t="s">
        <v>222</v>
      </c>
      <c r="H23" s="144"/>
      <c r="I23" s="65"/>
      <c r="J23" s="81"/>
      <c r="K23" s="103">
        <v>0</v>
      </c>
      <c r="L23" s="71">
        <v>0</v>
      </c>
      <c r="M23" s="102">
        <f t="shared" si="0"/>
        <v>0</v>
      </c>
      <c r="N23" s="108">
        <f t="shared" si="1"/>
        <v>0</v>
      </c>
      <c r="O23" s="73">
        <f t="shared" si="2"/>
        <v>0</v>
      </c>
      <c r="P23" s="65"/>
      <c r="Q23" s="98"/>
    </row>
    <row r="24" spans="1:17" ht="15.6" x14ac:dyDescent="0.3">
      <c r="A24" s="94">
        <f t="shared" si="3"/>
        <v>23</v>
      </c>
      <c r="B24" s="292">
        <v>87356</v>
      </c>
      <c r="C24" s="291" t="s">
        <v>161</v>
      </c>
      <c r="D24" s="184">
        <v>2</v>
      </c>
      <c r="E24" s="184" t="s">
        <v>112</v>
      </c>
      <c r="F24" s="249">
        <f>D24</f>
        <v>2</v>
      </c>
      <c r="G24" s="249" t="s">
        <v>112</v>
      </c>
      <c r="H24" s="144"/>
      <c r="I24" s="65"/>
      <c r="J24" s="65"/>
      <c r="K24" s="103">
        <v>0</v>
      </c>
      <c r="L24" s="71">
        <v>0</v>
      </c>
      <c r="M24" s="102">
        <f t="shared" si="0"/>
        <v>0</v>
      </c>
      <c r="N24" s="108">
        <f t="shared" si="1"/>
        <v>0</v>
      </c>
      <c r="O24" s="73">
        <f t="shared" si="2"/>
        <v>0</v>
      </c>
      <c r="P24" s="65"/>
      <c r="Q24" s="98"/>
    </row>
    <row r="25" spans="1:17" ht="15.6" x14ac:dyDescent="0.3">
      <c r="A25" s="94">
        <f t="shared" si="3"/>
        <v>24</v>
      </c>
      <c r="B25" s="291">
        <v>32629</v>
      </c>
      <c r="C25" s="294" t="s">
        <v>147</v>
      </c>
      <c r="D25" s="184">
        <v>10</v>
      </c>
      <c r="E25" s="184" t="s">
        <v>109</v>
      </c>
      <c r="F25" s="249">
        <f>D25*10</f>
        <v>100</v>
      </c>
      <c r="G25" s="249" t="s">
        <v>112</v>
      </c>
      <c r="H25" s="144"/>
      <c r="I25" s="65"/>
      <c r="J25" s="65"/>
      <c r="K25" s="103">
        <v>0</v>
      </c>
      <c r="L25" s="71">
        <v>0</v>
      </c>
      <c r="M25" s="102">
        <f t="shared" si="0"/>
        <v>0</v>
      </c>
      <c r="N25" s="108">
        <f t="shared" si="1"/>
        <v>0</v>
      </c>
      <c r="O25" s="73">
        <f t="shared" si="2"/>
        <v>0</v>
      </c>
      <c r="P25" s="65"/>
      <c r="Q25" s="98"/>
    </row>
    <row r="26" spans="1:17" ht="15.6" x14ac:dyDescent="0.3">
      <c r="A26" s="94">
        <f t="shared" si="3"/>
        <v>25</v>
      </c>
      <c r="B26" s="197">
        <v>86469</v>
      </c>
      <c r="C26" s="160" t="s">
        <v>305</v>
      </c>
      <c r="D26" s="152">
        <v>10</v>
      </c>
      <c r="E26" s="152" t="s">
        <v>112</v>
      </c>
      <c r="F26" s="249">
        <f>D26</f>
        <v>10</v>
      </c>
      <c r="G26" s="249" t="s">
        <v>112</v>
      </c>
      <c r="H26" s="144"/>
      <c r="I26" s="65"/>
      <c r="J26" s="65"/>
      <c r="K26" s="103">
        <v>0</v>
      </c>
      <c r="L26" s="71">
        <v>0</v>
      </c>
      <c r="M26" s="102">
        <f t="shared" si="0"/>
        <v>0</v>
      </c>
      <c r="N26" s="108">
        <f t="shared" si="1"/>
        <v>0</v>
      </c>
      <c r="O26" s="73">
        <f t="shared" si="2"/>
        <v>0</v>
      </c>
      <c r="P26" s="65"/>
      <c r="Q26" s="98"/>
    </row>
    <row r="27" spans="1:17" ht="15.6" x14ac:dyDescent="0.3">
      <c r="A27" s="94">
        <f t="shared" si="3"/>
        <v>26</v>
      </c>
      <c r="B27" s="196">
        <v>71022</v>
      </c>
      <c r="C27" s="159" t="s">
        <v>306</v>
      </c>
      <c r="D27" s="152">
        <v>3</v>
      </c>
      <c r="E27" s="152" t="s">
        <v>109</v>
      </c>
      <c r="F27" s="249">
        <f>D27*4</f>
        <v>12</v>
      </c>
      <c r="G27" s="249" t="s">
        <v>222</v>
      </c>
      <c r="H27" s="144"/>
      <c r="I27" s="65"/>
      <c r="J27" s="65"/>
      <c r="K27" s="103">
        <v>0</v>
      </c>
      <c r="L27" s="71">
        <v>0</v>
      </c>
      <c r="M27" s="102">
        <f t="shared" si="0"/>
        <v>0</v>
      </c>
      <c r="N27" s="108">
        <f t="shared" si="1"/>
        <v>0</v>
      </c>
      <c r="O27" s="73">
        <f t="shared" si="2"/>
        <v>0</v>
      </c>
      <c r="P27" s="65"/>
      <c r="Q27" s="98"/>
    </row>
    <row r="28" spans="1:17" ht="15.6" x14ac:dyDescent="0.3">
      <c r="A28" s="94">
        <f t="shared" si="3"/>
        <v>27</v>
      </c>
      <c r="B28" s="196">
        <v>111262</v>
      </c>
      <c r="C28" s="159" t="s">
        <v>307</v>
      </c>
      <c r="D28" s="152">
        <v>27</v>
      </c>
      <c r="E28" s="152" t="s">
        <v>112</v>
      </c>
      <c r="F28" s="249">
        <f>D28</f>
        <v>27</v>
      </c>
      <c r="G28" s="249" t="s">
        <v>112</v>
      </c>
      <c r="H28" s="144"/>
      <c r="I28" s="65"/>
      <c r="J28" s="65"/>
      <c r="K28" s="103">
        <v>0</v>
      </c>
      <c r="L28" s="71">
        <v>0</v>
      </c>
      <c r="M28" s="102">
        <f t="shared" si="0"/>
        <v>0</v>
      </c>
      <c r="N28" s="108">
        <f t="shared" si="1"/>
        <v>0</v>
      </c>
      <c r="O28" s="73">
        <f t="shared" si="2"/>
        <v>0</v>
      </c>
      <c r="P28" s="65"/>
      <c r="Q28" s="98"/>
    </row>
    <row r="29" spans="1:17" ht="15.6" x14ac:dyDescent="0.3">
      <c r="A29" s="94">
        <f t="shared" si="3"/>
        <v>28</v>
      </c>
      <c r="B29" s="196">
        <v>316738</v>
      </c>
      <c r="C29" s="159" t="s">
        <v>308</v>
      </c>
      <c r="D29" s="134">
        <v>2</v>
      </c>
      <c r="E29" s="153" t="s">
        <v>117</v>
      </c>
      <c r="F29" s="249">
        <f>D29*10</f>
        <v>20</v>
      </c>
      <c r="G29" s="253" t="s">
        <v>112</v>
      </c>
      <c r="H29" s="144"/>
      <c r="I29" s="65"/>
      <c r="J29" s="65"/>
      <c r="K29" s="103">
        <v>0</v>
      </c>
      <c r="L29" s="71">
        <v>0</v>
      </c>
      <c r="M29" s="102">
        <f t="shared" si="0"/>
        <v>0</v>
      </c>
      <c r="N29" s="108">
        <f t="shared" si="1"/>
        <v>0</v>
      </c>
      <c r="O29" s="73">
        <f t="shared" si="2"/>
        <v>0</v>
      </c>
      <c r="P29" s="65"/>
      <c r="Q29" s="98"/>
    </row>
    <row r="30" spans="1:17" ht="15.6" x14ac:dyDescent="0.3">
      <c r="A30" s="94">
        <f t="shared" si="3"/>
        <v>29</v>
      </c>
      <c r="B30" s="219">
        <v>356195</v>
      </c>
      <c r="C30" s="159" t="s">
        <v>309</v>
      </c>
      <c r="D30" s="152">
        <v>5</v>
      </c>
      <c r="E30" s="152" t="s">
        <v>117</v>
      </c>
      <c r="F30" s="249">
        <f>D30*10</f>
        <v>50</v>
      </c>
      <c r="G30" s="249" t="s">
        <v>112</v>
      </c>
      <c r="H30" s="144"/>
      <c r="I30" s="65"/>
      <c r="J30" s="65"/>
      <c r="K30" s="103">
        <v>0</v>
      </c>
      <c r="L30" s="71">
        <v>0</v>
      </c>
      <c r="M30" s="102">
        <f t="shared" si="0"/>
        <v>0</v>
      </c>
      <c r="N30" s="108">
        <f t="shared" si="1"/>
        <v>0</v>
      </c>
      <c r="O30" s="73">
        <f t="shared" si="2"/>
        <v>0</v>
      </c>
      <c r="P30" s="65"/>
      <c r="Q30" s="98"/>
    </row>
    <row r="31" spans="1:17" ht="15.6" x14ac:dyDescent="0.3">
      <c r="A31" s="94">
        <f t="shared" si="3"/>
        <v>30</v>
      </c>
      <c r="B31" s="198">
        <v>340150</v>
      </c>
      <c r="C31" s="194" t="s">
        <v>310</v>
      </c>
      <c r="D31" s="152">
        <v>2</v>
      </c>
      <c r="E31" s="152" t="s">
        <v>112</v>
      </c>
      <c r="F31" s="249">
        <f>D31</f>
        <v>2</v>
      </c>
      <c r="G31" s="249" t="s">
        <v>112</v>
      </c>
      <c r="H31" s="144"/>
      <c r="I31" s="65"/>
      <c r="J31" s="65"/>
      <c r="K31" s="103">
        <v>0</v>
      </c>
      <c r="L31" s="71">
        <v>0</v>
      </c>
      <c r="M31" s="102">
        <f t="shared" si="0"/>
        <v>0</v>
      </c>
      <c r="N31" s="108">
        <f t="shared" si="1"/>
        <v>0</v>
      </c>
      <c r="O31" s="73">
        <f t="shared" si="2"/>
        <v>0</v>
      </c>
      <c r="P31" s="65"/>
      <c r="Q31" s="98"/>
    </row>
    <row r="32" spans="1:17" ht="15.6" x14ac:dyDescent="0.3">
      <c r="A32" s="94">
        <f t="shared" si="3"/>
        <v>31</v>
      </c>
      <c r="B32" s="293">
        <v>82167</v>
      </c>
      <c r="C32" s="287" t="s">
        <v>311</v>
      </c>
      <c r="D32" s="152">
        <v>12</v>
      </c>
      <c r="E32" s="152" t="s">
        <v>112</v>
      </c>
      <c r="F32" s="249">
        <f>D32</f>
        <v>12</v>
      </c>
      <c r="G32" s="249" t="s">
        <v>222</v>
      </c>
      <c r="H32" s="144"/>
      <c r="I32" s="65"/>
      <c r="J32" s="65"/>
      <c r="K32" s="103">
        <v>0</v>
      </c>
      <c r="L32" s="71">
        <v>0</v>
      </c>
      <c r="M32" s="102">
        <f t="shared" si="0"/>
        <v>0</v>
      </c>
      <c r="N32" s="108">
        <f t="shared" si="1"/>
        <v>0</v>
      </c>
      <c r="O32" s="73">
        <f t="shared" si="2"/>
        <v>0</v>
      </c>
      <c r="P32" s="65"/>
      <c r="Q32" s="98"/>
    </row>
    <row r="33" spans="1:17" ht="15.6" x14ac:dyDescent="0.3">
      <c r="A33" s="94">
        <f t="shared" si="3"/>
        <v>32</v>
      </c>
      <c r="B33" s="293">
        <v>68684</v>
      </c>
      <c r="C33" s="190" t="s">
        <v>312</v>
      </c>
      <c r="D33" s="152">
        <f>3*20+10</f>
        <v>70</v>
      </c>
      <c r="E33" s="152" t="s">
        <v>112</v>
      </c>
      <c r="F33" s="249">
        <v>70</v>
      </c>
      <c r="G33" s="249" t="s">
        <v>112</v>
      </c>
      <c r="H33" s="144"/>
      <c r="I33" s="65"/>
      <c r="J33" s="65"/>
      <c r="K33" s="103">
        <v>0</v>
      </c>
      <c r="L33" s="71">
        <v>0</v>
      </c>
      <c r="M33" s="102">
        <f t="shared" si="0"/>
        <v>0</v>
      </c>
      <c r="N33" s="108">
        <f t="shared" si="1"/>
        <v>0</v>
      </c>
      <c r="O33" s="73">
        <f t="shared" si="2"/>
        <v>0</v>
      </c>
      <c r="P33" s="65"/>
      <c r="Q33" s="98"/>
    </row>
    <row r="34" spans="1:17" ht="15.6" x14ac:dyDescent="0.3">
      <c r="A34" s="94">
        <f t="shared" si="3"/>
        <v>33</v>
      </c>
      <c r="B34" s="293">
        <v>337117</v>
      </c>
      <c r="C34" s="287" t="s">
        <v>313</v>
      </c>
      <c r="D34" s="152">
        <v>17</v>
      </c>
      <c r="E34" s="152" t="s">
        <v>109</v>
      </c>
      <c r="F34" s="249">
        <f>D34*8</f>
        <v>136</v>
      </c>
      <c r="G34" s="249" t="s">
        <v>222</v>
      </c>
      <c r="H34" s="178"/>
      <c r="I34" s="179"/>
      <c r="J34" s="179"/>
      <c r="K34" s="103">
        <v>0</v>
      </c>
      <c r="L34" s="71">
        <v>0</v>
      </c>
      <c r="M34" s="102">
        <f t="shared" si="0"/>
        <v>0</v>
      </c>
      <c r="N34" s="108">
        <f t="shared" si="1"/>
        <v>0</v>
      </c>
      <c r="O34" s="73">
        <f t="shared" si="2"/>
        <v>0</v>
      </c>
      <c r="P34" s="65"/>
      <c r="Q34" s="98"/>
    </row>
    <row r="35" spans="1:17" ht="15.6" x14ac:dyDescent="0.3">
      <c r="A35" s="94">
        <f t="shared" si="3"/>
        <v>34</v>
      </c>
      <c r="B35" s="293">
        <v>36108</v>
      </c>
      <c r="C35" s="287" t="s">
        <v>314</v>
      </c>
      <c r="D35" s="134">
        <v>10</v>
      </c>
      <c r="E35" s="153" t="s">
        <v>112</v>
      </c>
      <c r="F35" s="253">
        <v>10</v>
      </c>
      <c r="G35" s="249" t="s">
        <v>222</v>
      </c>
      <c r="H35" s="336"/>
      <c r="I35" s="201"/>
      <c r="J35" s="337"/>
      <c r="K35" s="103">
        <v>0</v>
      </c>
      <c r="L35" s="71">
        <v>0</v>
      </c>
      <c r="M35" s="102">
        <f t="shared" si="0"/>
        <v>0</v>
      </c>
      <c r="N35" s="108">
        <f t="shared" si="1"/>
        <v>0</v>
      </c>
      <c r="O35" s="73">
        <f t="shared" si="2"/>
        <v>0</v>
      </c>
      <c r="P35" s="65"/>
      <c r="Q35" s="98"/>
    </row>
    <row r="36" spans="1:17" ht="15.6" x14ac:dyDescent="0.3">
      <c r="A36" s="94">
        <f t="shared" si="3"/>
        <v>35</v>
      </c>
      <c r="B36" s="215">
        <v>84473</v>
      </c>
      <c r="C36" s="190" t="s">
        <v>315</v>
      </c>
      <c r="D36" s="152">
        <v>10</v>
      </c>
      <c r="E36" s="152" t="s">
        <v>117</v>
      </c>
      <c r="F36" s="249">
        <f>D36*120</f>
        <v>1200</v>
      </c>
      <c r="G36" s="249" t="s">
        <v>219</v>
      </c>
      <c r="H36" s="178"/>
      <c r="I36" s="179"/>
      <c r="J36" s="179"/>
      <c r="K36" s="103">
        <v>0</v>
      </c>
      <c r="L36" s="71">
        <v>0</v>
      </c>
      <c r="M36" s="102">
        <f t="shared" si="0"/>
        <v>0</v>
      </c>
      <c r="N36" s="108">
        <f t="shared" si="1"/>
        <v>0</v>
      </c>
      <c r="O36" s="73">
        <f t="shared" si="2"/>
        <v>0</v>
      </c>
      <c r="P36" s="65"/>
      <c r="Q36" s="98"/>
    </row>
    <row r="37" spans="1:17" ht="15.6" x14ac:dyDescent="0.3">
      <c r="A37" s="94">
        <f t="shared" si="3"/>
        <v>36</v>
      </c>
      <c r="B37" s="293">
        <v>402374</v>
      </c>
      <c r="C37" s="160" t="s">
        <v>316</v>
      </c>
      <c r="D37" s="183">
        <v>1</v>
      </c>
      <c r="E37" s="183" t="s">
        <v>109</v>
      </c>
      <c r="F37" s="249">
        <f>D37*20</f>
        <v>20</v>
      </c>
      <c r="G37" s="249" t="s">
        <v>112</v>
      </c>
      <c r="H37" s="178"/>
      <c r="I37" s="179"/>
      <c r="J37" s="179"/>
      <c r="K37" s="103">
        <v>0</v>
      </c>
      <c r="L37" s="71">
        <v>0</v>
      </c>
      <c r="M37" s="102">
        <f t="shared" si="0"/>
        <v>0</v>
      </c>
      <c r="N37" s="108">
        <f t="shared" si="1"/>
        <v>0</v>
      </c>
      <c r="O37" s="73">
        <f t="shared" si="2"/>
        <v>0</v>
      </c>
      <c r="P37" s="65"/>
      <c r="Q37" s="98"/>
    </row>
    <row r="38" spans="1:17" ht="15.6" x14ac:dyDescent="0.3">
      <c r="A38" s="94">
        <f t="shared" si="3"/>
        <v>37</v>
      </c>
      <c r="B38" s="193">
        <v>32967</v>
      </c>
      <c r="C38" s="195" t="s">
        <v>148</v>
      </c>
      <c r="D38" s="184">
        <v>10</v>
      </c>
      <c r="E38" s="184" t="s">
        <v>109</v>
      </c>
      <c r="F38" s="249">
        <f>D38*10</f>
        <v>100</v>
      </c>
      <c r="G38" s="249" t="s">
        <v>112</v>
      </c>
      <c r="H38" s="178"/>
      <c r="I38" s="179"/>
      <c r="J38" s="179"/>
      <c r="K38" s="180">
        <v>0</v>
      </c>
      <c r="L38" s="71">
        <v>0</v>
      </c>
      <c r="M38" s="102">
        <f t="shared" si="0"/>
        <v>0</v>
      </c>
      <c r="N38" s="108">
        <f t="shared" si="1"/>
        <v>0</v>
      </c>
      <c r="O38" s="73">
        <f t="shared" si="2"/>
        <v>0</v>
      </c>
      <c r="P38" s="65"/>
      <c r="Q38" s="98"/>
    </row>
    <row r="39" spans="1:17" x14ac:dyDescent="0.25">
      <c r="A39" s="181"/>
      <c r="B39" s="181"/>
      <c r="C39" s="182"/>
      <c r="D39" s="182"/>
      <c r="E39" s="182"/>
      <c r="F39" s="182"/>
      <c r="G39" s="182"/>
      <c r="H39" s="182"/>
      <c r="I39" s="182"/>
      <c r="J39" s="182"/>
      <c r="K39" s="257">
        <f>SUM(K2:K38)</f>
        <v>0</v>
      </c>
      <c r="L39" s="69"/>
      <c r="M39" s="206">
        <f>SUM(M2:M38)</f>
        <v>0</v>
      </c>
      <c r="N39" s="206">
        <f>SUM(N2:N38)</f>
        <v>0</v>
      </c>
      <c r="O39" s="206">
        <f>SUM(O2:O38)</f>
        <v>0</v>
      </c>
      <c r="P39" s="206"/>
      <c r="Q39" s="206"/>
    </row>
    <row r="40" spans="1:17" ht="15" x14ac:dyDescent="0.25">
      <c r="B40" s="64"/>
      <c r="L40" s="124" t="s">
        <v>79</v>
      </c>
      <c r="M40" s="125">
        <f>IF(K39=0,0,M39/K39-1)</f>
        <v>0</v>
      </c>
    </row>
    <row r="41" spans="1:17" x14ac:dyDescent="0.25">
      <c r="B41" s="64"/>
    </row>
    <row r="42" spans="1:17" x14ac:dyDescent="0.25">
      <c r="B42" s="64"/>
    </row>
  </sheetData>
  <sheetProtection algorithmName="SHA-512" hashValue="hgdYtFaRxV/FVKxayOppW8il1FGMcK825oMdAUKb7On4WfPdUDLq7Tf6a7bNZOwFICYH1l71DXY+PehOWayJnQ==" saltValue="te/xIsc+wpTeWoOI3t2dzw==" spinCount="100000" sheet="1" objects="1" scenarios="1"/>
  <autoFilter ref="A1:H40" xr:uid="{00000000-0001-0000-0100-000000000000}"/>
  <sortState xmlns:xlrd2="http://schemas.microsoft.com/office/spreadsheetml/2017/richdata2" ref="A2:Q42">
    <sortCondition ref="C1:C42"/>
  </sortState>
  <phoneticPr fontId="49" type="noConversion"/>
  <conditionalFormatting sqref="C10:C20 C2:C8">
    <cfRule type="duplicateValues" dxfId="4" priority="30"/>
  </conditionalFormatting>
  <pageMargins left="0.7" right="0.7" top="0.75" bottom="0.75" header="0.3" footer="0.3"/>
  <pageSetup paperSize="9"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pageSetUpPr fitToPage="1"/>
  </sheetPr>
  <dimension ref="A1:BO22"/>
  <sheetViews>
    <sheetView topLeftCell="E1" workbookViewId="0">
      <pane ySplit="1" topLeftCell="A2" activePane="bottomLeft" state="frozen"/>
      <selection pane="bottomLeft" activeCell="O21" sqref="O21"/>
    </sheetView>
  </sheetViews>
  <sheetFormatPr baseColWidth="10" defaultColWidth="11.44140625" defaultRowHeight="13.8" x14ac:dyDescent="0.25"/>
  <cols>
    <col min="1" max="1" width="9.109375" style="66" customWidth="1"/>
    <col min="2" max="2" width="17.5546875" style="66" customWidth="1"/>
    <col min="3" max="3" width="61.109375" style="64" bestFit="1" customWidth="1"/>
    <col min="4" max="4" width="11.109375" style="64" customWidth="1"/>
    <col min="5" max="5" width="7" style="66" bestFit="1" customWidth="1"/>
    <col min="6" max="7" width="7" style="66" customWidth="1"/>
    <col min="8" max="8" width="17.109375" style="66" customWidth="1"/>
    <col min="9" max="9" width="39.33203125" style="80" customWidth="1"/>
    <col min="10" max="10" width="12.33203125" style="64" customWidth="1"/>
    <col min="11" max="11" width="15.5546875" style="64" customWidth="1"/>
    <col min="12" max="12" width="11.88671875" style="64" customWidth="1"/>
    <col min="13" max="13" width="16.88671875" style="64" customWidth="1"/>
    <col min="14" max="14" width="15.88671875" style="64" customWidth="1"/>
    <col min="15" max="15" width="17.33203125" style="64" customWidth="1"/>
    <col min="16" max="16" width="13.6640625" style="64" customWidth="1"/>
    <col min="17" max="17" width="15.88671875" style="64" customWidth="1"/>
    <col min="18" max="18" width="8.44140625" style="64" bestFit="1" customWidth="1"/>
    <col min="19" max="16384" width="11.44140625" style="64"/>
  </cols>
  <sheetData>
    <row r="1" spans="1:67" ht="90" customHeight="1" x14ac:dyDescent="0.3">
      <c r="A1" s="120" t="s">
        <v>12</v>
      </c>
      <c r="B1" s="44" t="s">
        <v>86</v>
      </c>
      <c r="C1" s="128" t="s">
        <v>54</v>
      </c>
      <c r="D1" s="75" t="s">
        <v>65</v>
      </c>
      <c r="E1" s="48" t="s">
        <v>221</v>
      </c>
      <c r="F1" s="48" t="s">
        <v>251</v>
      </c>
      <c r="G1" s="48" t="s">
        <v>251</v>
      </c>
      <c r="H1" s="75" t="s">
        <v>51</v>
      </c>
      <c r="I1" s="75" t="s">
        <v>52</v>
      </c>
      <c r="J1" s="88" t="s">
        <v>249</v>
      </c>
      <c r="K1" s="76" t="s">
        <v>250</v>
      </c>
      <c r="L1" s="75" t="s">
        <v>66</v>
      </c>
      <c r="M1" s="76" t="s">
        <v>250</v>
      </c>
      <c r="N1" s="85" t="s">
        <v>45</v>
      </c>
      <c r="O1" s="85" t="s">
        <v>3</v>
      </c>
      <c r="P1" s="135" t="s">
        <v>90</v>
      </c>
      <c r="Q1" s="143" t="s">
        <v>92</v>
      </c>
      <c r="R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row>
    <row r="2" spans="1:67" ht="15.6" x14ac:dyDescent="0.3">
      <c r="A2" s="127">
        <f>Renholdsrekvisita!A38+1</f>
        <v>38</v>
      </c>
      <c r="B2" s="284">
        <v>352758</v>
      </c>
      <c r="C2" s="327" t="s">
        <v>155</v>
      </c>
      <c r="D2" s="302">
        <v>1</v>
      </c>
      <c r="E2" s="158" t="s">
        <v>112</v>
      </c>
      <c r="F2" s="334"/>
      <c r="G2" s="334"/>
      <c r="H2" s="99"/>
      <c r="I2" s="99"/>
      <c r="J2" s="99"/>
      <c r="K2" s="70">
        <v>0</v>
      </c>
      <c r="L2" s="71">
        <v>0</v>
      </c>
      <c r="M2" s="72">
        <f t="shared" ref="M2:M20" si="0">K2+K2*L2</f>
        <v>0</v>
      </c>
      <c r="N2" s="87">
        <f t="shared" ref="N2:N20" si="1">M2*J2</f>
        <v>0</v>
      </c>
      <c r="O2" s="97">
        <f t="shared" ref="O2:O20" si="2">M2*D2</f>
        <v>0</v>
      </c>
      <c r="P2" s="147"/>
      <c r="Q2" s="98"/>
      <c r="R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row>
    <row r="3" spans="1:67" s="58" customFormat="1" ht="15.6" x14ac:dyDescent="0.3">
      <c r="A3" s="127">
        <f t="shared" ref="A3:A8" si="3">A2+1</f>
        <v>39</v>
      </c>
      <c r="B3" s="156">
        <v>270868</v>
      </c>
      <c r="C3" s="329" t="s">
        <v>142</v>
      </c>
      <c r="D3" s="224">
        <v>1</v>
      </c>
      <c r="E3" s="152" t="s">
        <v>112</v>
      </c>
      <c r="F3" s="152"/>
      <c r="G3" s="152"/>
      <c r="H3" s="98"/>
      <c r="I3" s="98"/>
      <c r="J3" s="98"/>
      <c r="K3" s="70">
        <v>0</v>
      </c>
      <c r="L3" s="71">
        <v>0</v>
      </c>
      <c r="M3" s="72">
        <f t="shared" si="0"/>
        <v>0</v>
      </c>
      <c r="N3" s="87">
        <f t="shared" si="1"/>
        <v>0</v>
      </c>
      <c r="O3" s="97">
        <f t="shared" si="2"/>
        <v>0</v>
      </c>
      <c r="P3" s="65"/>
      <c r="Q3" s="98"/>
      <c r="R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row>
    <row r="4" spans="1:67" s="58" customFormat="1" ht="15.6" x14ac:dyDescent="0.3">
      <c r="A4" s="127">
        <f t="shared" si="3"/>
        <v>40</v>
      </c>
      <c r="B4" s="164">
        <v>284826</v>
      </c>
      <c r="C4" s="328" t="s">
        <v>143</v>
      </c>
      <c r="D4" s="331">
        <v>1</v>
      </c>
      <c r="E4" s="152" t="s">
        <v>112</v>
      </c>
      <c r="F4" s="152"/>
      <c r="G4" s="152"/>
      <c r="H4" s="98"/>
      <c r="I4" s="98"/>
      <c r="J4" s="98"/>
      <c r="K4" s="70">
        <v>0</v>
      </c>
      <c r="L4" s="71">
        <v>0</v>
      </c>
      <c r="M4" s="72">
        <f t="shared" si="0"/>
        <v>0</v>
      </c>
      <c r="N4" s="87">
        <f t="shared" si="1"/>
        <v>0</v>
      </c>
      <c r="O4" s="97">
        <f t="shared" si="2"/>
        <v>0</v>
      </c>
      <c r="P4" s="65"/>
      <c r="Q4" s="98"/>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row>
    <row r="5" spans="1:67" ht="15.6" x14ac:dyDescent="0.3">
      <c r="A5" s="127">
        <f t="shared" si="3"/>
        <v>41</v>
      </c>
      <c r="B5" s="156">
        <v>264688</v>
      </c>
      <c r="C5" s="162" t="s">
        <v>150</v>
      </c>
      <c r="D5" s="226">
        <v>1</v>
      </c>
      <c r="E5" s="158" t="s">
        <v>112</v>
      </c>
      <c r="F5" s="158"/>
      <c r="G5" s="158"/>
      <c r="H5" s="98"/>
      <c r="I5" s="98"/>
      <c r="J5" s="98"/>
      <c r="K5" s="70">
        <v>0</v>
      </c>
      <c r="L5" s="71">
        <v>0</v>
      </c>
      <c r="M5" s="72">
        <f t="shared" si="0"/>
        <v>0</v>
      </c>
      <c r="N5" s="87">
        <f t="shared" si="1"/>
        <v>0</v>
      </c>
      <c r="O5" s="97">
        <f t="shared" si="2"/>
        <v>0</v>
      </c>
      <c r="P5" s="147"/>
      <c r="Q5" s="98"/>
    </row>
    <row r="6" spans="1:67" s="43" customFormat="1" ht="15.6" x14ac:dyDescent="0.3">
      <c r="A6" s="127">
        <f t="shared" si="3"/>
        <v>42</v>
      </c>
      <c r="B6" s="165">
        <v>417420</v>
      </c>
      <c r="C6" s="162" t="s">
        <v>153</v>
      </c>
      <c r="D6" s="227">
        <v>1</v>
      </c>
      <c r="E6" s="158" t="s">
        <v>112</v>
      </c>
      <c r="F6" s="158"/>
      <c r="G6" s="158"/>
      <c r="H6" s="98"/>
      <c r="I6" s="98"/>
      <c r="J6" s="98"/>
      <c r="K6" s="70">
        <v>0</v>
      </c>
      <c r="L6" s="71">
        <v>0</v>
      </c>
      <c r="M6" s="72">
        <f t="shared" si="0"/>
        <v>0</v>
      </c>
      <c r="N6" s="87">
        <f t="shared" si="1"/>
        <v>0</v>
      </c>
      <c r="O6" s="97">
        <f t="shared" si="2"/>
        <v>0</v>
      </c>
      <c r="P6" s="147"/>
      <c r="Q6" s="98"/>
    </row>
    <row r="7" spans="1:67" ht="15.6" x14ac:dyDescent="0.3">
      <c r="A7" s="127">
        <f t="shared" si="3"/>
        <v>43</v>
      </c>
      <c r="B7" s="156">
        <v>413470</v>
      </c>
      <c r="C7" s="161" t="s">
        <v>152</v>
      </c>
      <c r="D7" s="227">
        <v>5</v>
      </c>
      <c r="E7" s="158" t="s">
        <v>112</v>
      </c>
      <c r="F7" s="158"/>
      <c r="G7" s="158"/>
      <c r="H7" s="98"/>
      <c r="I7" s="98"/>
      <c r="J7" s="98"/>
      <c r="K7" s="70">
        <v>0</v>
      </c>
      <c r="L7" s="71">
        <v>0</v>
      </c>
      <c r="M7" s="72">
        <f t="shared" si="0"/>
        <v>0</v>
      </c>
      <c r="N7" s="87">
        <f t="shared" si="1"/>
        <v>0</v>
      </c>
      <c r="O7" s="97">
        <f t="shared" si="2"/>
        <v>0</v>
      </c>
      <c r="P7" s="147"/>
      <c r="Q7" s="98"/>
    </row>
    <row r="8" spans="1:67" ht="15.6" x14ac:dyDescent="0.3">
      <c r="A8" s="127">
        <f t="shared" si="3"/>
        <v>44</v>
      </c>
      <c r="B8" s="156">
        <v>417017</v>
      </c>
      <c r="C8" s="162" t="s">
        <v>151</v>
      </c>
      <c r="D8" s="227">
        <v>5</v>
      </c>
      <c r="E8" s="158" t="s">
        <v>112</v>
      </c>
      <c r="F8" s="158"/>
      <c r="G8" s="158"/>
      <c r="H8" s="98"/>
      <c r="I8" s="98"/>
      <c r="J8" s="98"/>
      <c r="K8" s="70">
        <v>0</v>
      </c>
      <c r="L8" s="71">
        <v>0</v>
      </c>
      <c r="M8" s="72">
        <f t="shared" si="0"/>
        <v>0</v>
      </c>
      <c r="N8" s="87">
        <f t="shared" si="1"/>
        <v>0</v>
      </c>
      <c r="O8" s="97">
        <f t="shared" si="2"/>
        <v>0</v>
      </c>
      <c r="P8" s="147"/>
      <c r="Q8" s="98"/>
    </row>
    <row r="9" spans="1:67" ht="15.6" x14ac:dyDescent="0.3">
      <c r="A9" s="127">
        <f t="shared" ref="A9:A20" si="4">A8+1</f>
        <v>45</v>
      </c>
      <c r="B9" s="223">
        <v>314278</v>
      </c>
      <c r="C9" s="330" t="s">
        <v>284</v>
      </c>
      <c r="D9" s="333">
        <v>1</v>
      </c>
      <c r="E9" s="225" t="s">
        <v>112</v>
      </c>
      <c r="F9" s="225"/>
      <c r="G9" s="225"/>
      <c r="H9" s="230"/>
      <c r="I9" s="231"/>
      <c r="J9" s="65"/>
      <c r="K9" s="70">
        <v>0</v>
      </c>
      <c r="L9" s="71">
        <v>0</v>
      </c>
      <c r="M9" s="72">
        <f t="shared" si="0"/>
        <v>0</v>
      </c>
      <c r="N9" s="87">
        <f t="shared" si="1"/>
        <v>0</v>
      </c>
      <c r="O9" s="97">
        <f t="shared" si="2"/>
        <v>0</v>
      </c>
      <c r="P9" s="147"/>
      <c r="Q9" s="98"/>
    </row>
    <row r="10" spans="1:67" ht="15.6" x14ac:dyDescent="0.3">
      <c r="A10" s="127">
        <f t="shared" si="4"/>
        <v>46</v>
      </c>
      <c r="B10" s="122"/>
      <c r="C10" s="301" t="s">
        <v>141</v>
      </c>
      <c r="D10" s="152">
        <v>1</v>
      </c>
      <c r="E10" s="152" t="s">
        <v>112</v>
      </c>
      <c r="F10" s="152"/>
      <c r="G10" s="152"/>
      <c r="H10" s="98"/>
      <c r="I10" s="98"/>
      <c r="J10" s="98"/>
      <c r="K10" s="70">
        <v>0</v>
      </c>
      <c r="L10" s="71">
        <v>0</v>
      </c>
      <c r="M10" s="72">
        <f t="shared" si="0"/>
        <v>0</v>
      </c>
      <c r="N10" s="87">
        <f t="shared" si="1"/>
        <v>0</v>
      </c>
      <c r="O10" s="97">
        <f t="shared" si="2"/>
        <v>0</v>
      </c>
      <c r="P10" s="145"/>
      <c r="Q10" s="98"/>
    </row>
    <row r="11" spans="1:67" ht="15.6" x14ac:dyDescent="0.3">
      <c r="A11" s="127">
        <f t="shared" si="4"/>
        <v>47</v>
      </c>
      <c r="B11" s="166">
        <v>396435</v>
      </c>
      <c r="C11" s="163" t="s">
        <v>157</v>
      </c>
      <c r="D11" s="221">
        <v>1</v>
      </c>
      <c r="E11" s="158" t="s">
        <v>112</v>
      </c>
      <c r="F11" s="158"/>
      <c r="G11" s="158"/>
      <c r="H11" s="98"/>
      <c r="I11" s="98"/>
      <c r="J11" s="98"/>
      <c r="K11" s="70">
        <v>0</v>
      </c>
      <c r="L11" s="71">
        <v>0</v>
      </c>
      <c r="M11" s="72">
        <f t="shared" si="0"/>
        <v>0</v>
      </c>
      <c r="N11" s="87">
        <f t="shared" si="1"/>
        <v>0</v>
      </c>
      <c r="O11" s="97">
        <f t="shared" si="2"/>
        <v>0</v>
      </c>
      <c r="P11" s="147"/>
      <c r="Q11" s="98"/>
    </row>
    <row r="12" spans="1:67" ht="15.6" x14ac:dyDescent="0.3">
      <c r="A12" s="127">
        <f t="shared" si="4"/>
        <v>48</v>
      </c>
      <c r="B12" s="166">
        <v>356125</v>
      </c>
      <c r="C12" s="163" t="s">
        <v>156</v>
      </c>
      <c r="D12" s="221">
        <v>2</v>
      </c>
      <c r="E12" s="158" t="s">
        <v>112</v>
      </c>
      <c r="F12" s="158"/>
      <c r="G12" s="158"/>
      <c r="H12" s="98"/>
      <c r="I12" s="98"/>
      <c r="J12" s="98"/>
      <c r="K12" s="70">
        <v>0</v>
      </c>
      <c r="L12" s="71">
        <v>0</v>
      </c>
      <c r="M12" s="72">
        <f t="shared" si="0"/>
        <v>0</v>
      </c>
      <c r="N12" s="87">
        <f t="shared" si="1"/>
        <v>0</v>
      </c>
      <c r="O12" s="97">
        <f t="shared" si="2"/>
        <v>0</v>
      </c>
      <c r="P12" s="147"/>
      <c r="Q12" s="98"/>
    </row>
    <row r="13" spans="1:67" ht="15.6" x14ac:dyDescent="0.3">
      <c r="A13" s="127">
        <f t="shared" si="4"/>
        <v>49</v>
      </c>
      <c r="B13" s="223">
        <v>343077</v>
      </c>
      <c r="C13" s="300" t="s">
        <v>164</v>
      </c>
      <c r="D13" s="221">
        <v>1</v>
      </c>
      <c r="E13" s="225" t="s">
        <v>112</v>
      </c>
      <c r="F13" s="225"/>
      <c r="G13" s="225"/>
      <c r="H13" s="230"/>
      <c r="I13" s="231"/>
      <c r="J13" s="65"/>
      <c r="K13" s="70">
        <v>0</v>
      </c>
      <c r="L13" s="71">
        <v>0</v>
      </c>
      <c r="M13" s="72">
        <f t="shared" si="0"/>
        <v>0</v>
      </c>
      <c r="N13" s="87">
        <f t="shared" si="1"/>
        <v>0</v>
      </c>
      <c r="O13" s="97">
        <f t="shared" si="2"/>
        <v>0</v>
      </c>
      <c r="P13" s="147"/>
      <c r="Q13" s="98"/>
    </row>
    <row r="14" spans="1:67" ht="15.6" x14ac:dyDescent="0.3">
      <c r="A14" s="127">
        <f t="shared" si="4"/>
        <v>50</v>
      </c>
      <c r="B14" s="166"/>
      <c r="C14" s="163" t="s">
        <v>167</v>
      </c>
      <c r="D14" s="221">
        <v>1</v>
      </c>
      <c r="E14" s="158" t="s">
        <v>112</v>
      </c>
      <c r="F14" s="158"/>
      <c r="G14" s="158"/>
      <c r="H14" s="98"/>
      <c r="I14" s="98"/>
      <c r="J14" s="98"/>
      <c r="K14" s="70">
        <v>0</v>
      </c>
      <c r="L14" s="71">
        <v>0</v>
      </c>
      <c r="M14" s="72">
        <f t="shared" si="0"/>
        <v>0</v>
      </c>
      <c r="N14" s="87">
        <f t="shared" si="1"/>
        <v>0</v>
      </c>
      <c r="O14" s="97">
        <f t="shared" si="2"/>
        <v>0</v>
      </c>
      <c r="P14" s="147"/>
      <c r="Q14" s="98"/>
    </row>
    <row r="15" spans="1:67" ht="15.6" x14ac:dyDescent="0.3">
      <c r="A15" s="127">
        <f t="shared" si="4"/>
        <v>51</v>
      </c>
      <c r="B15" s="166"/>
      <c r="C15" s="163" t="s">
        <v>168</v>
      </c>
      <c r="D15" s="221">
        <v>1</v>
      </c>
      <c r="E15" s="158" t="s">
        <v>112</v>
      </c>
      <c r="F15" s="158"/>
      <c r="G15" s="158"/>
      <c r="H15" s="98"/>
      <c r="I15" s="98"/>
      <c r="J15" s="98"/>
      <c r="K15" s="70">
        <v>0</v>
      </c>
      <c r="L15" s="71">
        <v>0</v>
      </c>
      <c r="M15" s="72">
        <f t="shared" si="0"/>
        <v>0</v>
      </c>
      <c r="N15" s="87">
        <f t="shared" si="1"/>
        <v>0</v>
      </c>
      <c r="O15" s="97">
        <f t="shared" si="2"/>
        <v>0</v>
      </c>
      <c r="P15" s="147"/>
      <c r="Q15" s="98"/>
    </row>
    <row r="16" spans="1:67" ht="15.6" x14ac:dyDescent="0.3">
      <c r="A16" s="127">
        <f t="shared" si="4"/>
        <v>52</v>
      </c>
      <c r="B16" s="166"/>
      <c r="C16" s="163" t="s">
        <v>165</v>
      </c>
      <c r="D16" s="221">
        <v>1</v>
      </c>
      <c r="E16" s="158" t="s">
        <v>112</v>
      </c>
      <c r="F16" s="158"/>
      <c r="G16" s="158"/>
      <c r="H16" s="98"/>
      <c r="I16" s="98"/>
      <c r="J16" s="98"/>
      <c r="K16" s="70">
        <v>0</v>
      </c>
      <c r="L16" s="71">
        <v>0</v>
      </c>
      <c r="M16" s="72">
        <f t="shared" si="0"/>
        <v>0</v>
      </c>
      <c r="N16" s="87">
        <f t="shared" si="1"/>
        <v>0</v>
      </c>
      <c r="O16" s="97">
        <f t="shared" si="2"/>
        <v>0</v>
      </c>
      <c r="P16" s="147"/>
      <c r="Q16" s="98"/>
    </row>
    <row r="17" spans="1:17" ht="15.6" x14ac:dyDescent="0.3">
      <c r="A17" s="127">
        <f t="shared" si="4"/>
        <v>53</v>
      </c>
      <c r="B17" s="199"/>
      <c r="C17" s="200" t="s">
        <v>166</v>
      </c>
      <c r="D17" s="228">
        <v>1</v>
      </c>
      <c r="E17" s="229" t="s">
        <v>112</v>
      </c>
      <c r="F17" s="229"/>
      <c r="G17" s="229"/>
      <c r="H17" s="201"/>
      <c r="I17" s="201"/>
      <c r="J17" s="201"/>
      <c r="K17" s="70">
        <v>0</v>
      </c>
      <c r="L17" s="71">
        <v>0</v>
      </c>
      <c r="M17" s="72">
        <f t="shared" si="0"/>
        <v>0</v>
      </c>
      <c r="N17" s="87">
        <f t="shared" si="1"/>
        <v>0</v>
      </c>
      <c r="O17" s="97">
        <f t="shared" si="2"/>
        <v>0</v>
      </c>
      <c r="P17" s="147"/>
      <c r="Q17" s="98"/>
    </row>
    <row r="18" spans="1:17" ht="15.6" x14ac:dyDescent="0.3">
      <c r="A18" s="127">
        <f t="shared" si="4"/>
        <v>54</v>
      </c>
      <c r="B18" s="223">
        <v>49643</v>
      </c>
      <c r="C18" s="193" t="s">
        <v>163</v>
      </c>
      <c r="D18" s="221">
        <v>1</v>
      </c>
      <c r="E18" s="225" t="s">
        <v>112</v>
      </c>
      <c r="F18" s="225"/>
      <c r="G18" s="225"/>
      <c r="H18" s="230"/>
      <c r="I18" s="231"/>
      <c r="J18" s="65"/>
      <c r="K18" s="70">
        <v>0</v>
      </c>
      <c r="L18" s="71">
        <v>0</v>
      </c>
      <c r="M18" s="72">
        <f t="shared" si="0"/>
        <v>0</v>
      </c>
      <c r="N18" s="87">
        <f t="shared" si="1"/>
        <v>0</v>
      </c>
      <c r="O18" s="97">
        <f t="shared" si="2"/>
        <v>0</v>
      </c>
      <c r="P18" s="147"/>
      <c r="Q18" s="98"/>
    </row>
    <row r="19" spans="1:17" ht="15.6" x14ac:dyDescent="0.3">
      <c r="A19" s="127">
        <f t="shared" si="4"/>
        <v>55</v>
      </c>
      <c r="B19" s="165">
        <v>410556</v>
      </c>
      <c r="C19" s="190" t="s">
        <v>285</v>
      </c>
      <c r="D19" s="332">
        <v>1</v>
      </c>
      <c r="E19" s="152" t="s">
        <v>112</v>
      </c>
      <c r="F19" s="152"/>
      <c r="G19" s="152"/>
      <c r="H19" s="98"/>
      <c r="I19" s="98"/>
      <c r="J19" s="98"/>
      <c r="K19" s="70">
        <v>0</v>
      </c>
      <c r="L19" s="71">
        <v>0</v>
      </c>
      <c r="M19" s="72">
        <f t="shared" si="0"/>
        <v>0</v>
      </c>
      <c r="N19" s="87">
        <f t="shared" si="1"/>
        <v>0</v>
      </c>
      <c r="O19" s="97">
        <f t="shared" si="2"/>
        <v>0</v>
      </c>
      <c r="P19" s="146"/>
      <c r="Q19" s="98"/>
    </row>
    <row r="20" spans="1:17" ht="15.6" x14ac:dyDescent="0.3">
      <c r="A20" s="127">
        <f t="shared" si="4"/>
        <v>56</v>
      </c>
      <c r="B20" s="156">
        <v>422447</v>
      </c>
      <c r="C20" s="150" t="s">
        <v>154</v>
      </c>
      <c r="D20" s="158">
        <v>1</v>
      </c>
      <c r="E20" s="158" t="s">
        <v>112</v>
      </c>
      <c r="F20" s="158"/>
      <c r="G20" s="158"/>
      <c r="H20" s="98"/>
      <c r="I20" s="98"/>
      <c r="J20" s="98"/>
      <c r="K20" s="70">
        <v>0</v>
      </c>
      <c r="L20" s="71">
        <v>0</v>
      </c>
      <c r="M20" s="72">
        <f t="shared" si="0"/>
        <v>0</v>
      </c>
      <c r="N20" s="87">
        <f t="shared" si="1"/>
        <v>0</v>
      </c>
      <c r="O20" s="97">
        <f t="shared" si="2"/>
        <v>0</v>
      </c>
      <c r="P20" s="147"/>
      <c r="Q20" s="98"/>
    </row>
    <row r="21" spans="1:17" ht="15" x14ac:dyDescent="0.25">
      <c r="A21" s="33"/>
      <c r="B21" s="33"/>
      <c r="C21" s="33"/>
      <c r="D21" s="33"/>
      <c r="E21" s="33"/>
      <c r="F21" s="33"/>
      <c r="G21" s="33"/>
      <c r="H21" s="245"/>
      <c r="I21" s="245"/>
      <c r="J21" s="245"/>
      <c r="K21" s="245">
        <f>SUM(K2:K20)</f>
        <v>0</v>
      </c>
      <c r="L21" s="246"/>
      <c r="M21" s="207">
        <f>SUM(M2:M20)</f>
        <v>0</v>
      </c>
      <c r="N21" s="207">
        <f>SUM(N2:N20)</f>
        <v>0</v>
      </c>
      <c r="O21" s="77">
        <f>SUM(O2:O20)</f>
        <v>0</v>
      </c>
      <c r="P21" s="182"/>
      <c r="Q21" s="182"/>
    </row>
    <row r="22" spans="1:17" ht="15" x14ac:dyDescent="0.25">
      <c r="L22" s="118" t="s">
        <v>79</v>
      </c>
      <c r="M22" s="35">
        <f>IF(K21=0,0,M21/K21-1)</f>
        <v>0</v>
      </c>
    </row>
  </sheetData>
  <sheetProtection algorithmName="SHA-512" hashValue="GoJYxYNPYjoWoiMOwZ8b5qcCIXn3VRFDlLAYDunOAMPIVTnOUcGKQU2QXhg3Whw8rMQzBsSHly+KNutPSIuN/A==" saltValue="Md2wtbVQz/jwEhKDSmsN8A==" spinCount="100000" sheet="1" objects="1" scenarios="1"/>
  <sortState xmlns:xlrd2="http://schemas.microsoft.com/office/spreadsheetml/2017/richdata2" ref="A2:Q22">
    <sortCondition ref="C1:C22"/>
  </sortState>
  <conditionalFormatting sqref="C5 B2">
    <cfRule type="duplicateValues" dxfId="3" priority="26"/>
  </conditionalFormatting>
  <pageMargins left="0.7" right="0.7" top="0.75" bottom="0.75" header="0.3" footer="0.3"/>
  <pageSetup paperSize="9" scale="4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15"/>
  <dimension ref="A1:Q52"/>
  <sheetViews>
    <sheetView workbookViewId="0">
      <selection activeCell="H5" sqref="H5"/>
    </sheetView>
  </sheetViews>
  <sheetFormatPr baseColWidth="10" defaultRowHeight="14.4" x14ac:dyDescent="0.3"/>
  <cols>
    <col min="1" max="1" width="7.33203125" customWidth="1"/>
    <col min="2" max="2" width="15.88671875" customWidth="1"/>
    <col min="3" max="3" width="55.6640625" customWidth="1"/>
    <col min="5" max="5" width="10.109375" customWidth="1"/>
    <col min="6" max="7" width="10.109375" style="46" customWidth="1"/>
    <col min="8" max="8" width="17.5546875" customWidth="1"/>
    <col min="9" max="9" width="38.109375" customWidth="1"/>
    <col min="10" max="10" width="11.5546875" customWidth="1"/>
    <col min="11" max="11" width="15.6640625" style="46" customWidth="1"/>
    <col min="13" max="14" width="17.44140625" customWidth="1"/>
    <col min="15" max="15" width="17.6640625" customWidth="1"/>
    <col min="16" max="16" width="13.6640625" customWidth="1"/>
    <col min="17" max="17" width="16.33203125" customWidth="1"/>
  </cols>
  <sheetData>
    <row r="1" spans="1:17" ht="110.4" x14ac:dyDescent="0.3">
      <c r="A1" s="75" t="s">
        <v>11</v>
      </c>
      <c r="B1" s="95" t="s">
        <v>85</v>
      </c>
      <c r="C1" s="107" t="s">
        <v>55</v>
      </c>
      <c r="D1" s="79" t="s">
        <v>59</v>
      </c>
      <c r="E1" s="79" t="s">
        <v>44</v>
      </c>
      <c r="F1" s="48" t="s">
        <v>207</v>
      </c>
      <c r="G1" s="48" t="s">
        <v>221</v>
      </c>
      <c r="H1" s="316" t="s">
        <v>60</v>
      </c>
      <c r="I1" s="316" t="s">
        <v>5</v>
      </c>
      <c r="J1" s="314" t="s">
        <v>249</v>
      </c>
      <c r="K1" s="315" t="s">
        <v>250</v>
      </c>
      <c r="L1" s="315" t="s">
        <v>250</v>
      </c>
      <c r="M1" s="86" t="s">
        <v>73</v>
      </c>
      <c r="N1" s="85" t="s">
        <v>61</v>
      </c>
      <c r="O1" s="85" t="s">
        <v>3</v>
      </c>
      <c r="P1" s="135" t="s">
        <v>90</v>
      </c>
      <c r="Q1" s="143" t="s">
        <v>92</v>
      </c>
    </row>
    <row r="2" spans="1:17" s="46" customFormat="1" ht="15.6" x14ac:dyDescent="0.3">
      <c r="A2" s="55">
        <f>Rengjøringsmaskiner!A20+1</f>
        <v>57</v>
      </c>
      <c r="B2" s="297">
        <v>307704</v>
      </c>
      <c r="C2" s="160" t="s">
        <v>317</v>
      </c>
      <c r="D2" s="136">
        <v>20</v>
      </c>
      <c r="E2" s="137" t="s">
        <v>109</v>
      </c>
      <c r="F2" s="254">
        <f>D2*12</f>
        <v>240</v>
      </c>
      <c r="G2" s="254" t="s">
        <v>225</v>
      </c>
      <c r="H2" s="123"/>
      <c r="I2" s="56"/>
      <c r="J2" s="56"/>
      <c r="K2" s="106">
        <v>0</v>
      </c>
      <c r="L2" s="31">
        <v>0</v>
      </c>
      <c r="M2" s="104">
        <f t="shared" ref="M2:M33" si="0">K2+K2*L2</f>
        <v>0</v>
      </c>
      <c r="N2" s="105">
        <f t="shared" ref="N2:N33" si="1">J2*M2</f>
        <v>0</v>
      </c>
      <c r="O2" s="32">
        <f t="shared" ref="O2:O33" si="2">M2*F2</f>
        <v>0</v>
      </c>
      <c r="P2" s="290"/>
      <c r="Q2" s="299"/>
    </row>
    <row r="3" spans="1:17" ht="15.6" x14ac:dyDescent="0.3">
      <c r="A3" s="55">
        <f t="shared" ref="A3:A50" si="3">A2+1</f>
        <v>58</v>
      </c>
      <c r="B3" s="196">
        <v>307706</v>
      </c>
      <c r="C3" s="159" t="s">
        <v>318</v>
      </c>
      <c r="D3" s="136">
        <v>17</v>
      </c>
      <c r="E3" s="137" t="s">
        <v>109</v>
      </c>
      <c r="F3" s="254">
        <f>D3*12</f>
        <v>204</v>
      </c>
      <c r="G3" s="254" t="s">
        <v>225</v>
      </c>
      <c r="H3" s="123"/>
      <c r="I3" s="56"/>
      <c r="J3" s="56"/>
      <c r="K3" s="106">
        <v>0</v>
      </c>
      <c r="L3" s="31">
        <v>0</v>
      </c>
      <c r="M3" s="104">
        <f t="shared" si="0"/>
        <v>0</v>
      </c>
      <c r="N3" s="105">
        <f t="shared" si="1"/>
        <v>0</v>
      </c>
      <c r="O3" s="32">
        <f t="shared" si="2"/>
        <v>0</v>
      </c>
      <c r="P3" s="98"/>
      <c r="Q3" s="98"/>
    </row>
    <row r="4" spans="1:17" ht="15.6" x14ac:dyDescent="0.3">
      <c r="A4" s="55">
        <f t="shared" si="3"/>
        <v>59</v>
      </c>
      <c r="B4" s="197">
        <v>373218</v>
      </c>
      <c r="C4" s="160" t="s">
        <v>319</v>
      </c>
      <c r="D4" s="136">
        <v>18</v>
      </c>
      <c r="E4" s="137" t="s">
        <v>109</v>
      </c>
      <c r="F4" s="254">
        <f>D4*10</f>
        <v>180</v>
      </c>
      <c r="G4" s="254" t="s">
        <v>222</v>
      </c>
      <c r="H4" s="123"/>
      <c r="I4" s="56"/>
      <c r="J4" s="56"/>
      <c r="K4" s="106">
        <v>0</v>
      </c>
      <c r="L4" s="31">
        <v>0</v>
      </c>
      <c r="M4" s="104">
        <f t="shared" si="0"/>
        <v>0</v>
      </c>
      <c r="N4" s="105">
        <f t="shared" si="1"/>
        <v>0</v>
      </c>
      <c r="O4" s="32">
        <f t="shared" si="2"/>
        <v>0</v>
      </c>
      <c r="P4" s="98"/>
      <c r="Q4" s="98"/>
    </row>
    <row r="5" spans="1:17" ht="15.6" x14ac:dyDescent="0.3">
      <c r="A5" s="55">
        <f t="shared" si="3"/>
        <v>60</v>
      </c>
      <c r="B5" s="197">
        <v>323847</v>
      </c>
      <c r="C5" s="159" t="s">
        <v>320</v>
      </c>
      <c r="D5" s="221">
        <v>3</v>
      </c>
      <c r="E5" s="221" t="s">
        <v>109</v>
      </c>
      <c r="F5" s="254">
        <f>D5*6</f>
        <v>18</v>
      </c>
      <c r="G5" s="222" t="s">
        <v>222</v>
      </c>
      <c r="H5" s="123"/>
      <c r="I5" s="56"/>
      <c r="J5" s="56"/>
      <c r="K5" s="106">
        <v>0</v>
      </c>
      <c r="L5" s="31">
        <v>0</v>
      </c>
      <c r="M5" s="104">
        <f t="shared" si="0"/>
        <v>0</v>
      </c>
      <c r="N5" s="105">
        <f t="shared" si="1"/>
        <v>0</v>
      </c>
      <c r="O5" s="32">
        <f t="shared" si="2"/>
        <v>0</v>
      </c>
      <c r="P5" s="98"/>
      <c r="Q5" s="98"/>
    </row>
    <row r="6" spans="1:17" ht="15.6" x14ac:dyDescent="0.3">
      <c r="A6" s="55">
        <f t="shared" si="3"/>
        <v>61</v>
      </c>
      <c r="B6" s="197">
        <v>373213</v>
      </c>
      <c r="C6" s="160" t="s">
        <v>321</v>
      </c>
      <c r="D6" s="136">
        <v>22</v>
      </c>
      <c r="E6" s="137" t="s">
        <v>109</v>
      </c>
      <c r="F6" s="254">
        <f>D6*10</f>
        <v>220</v>
      </c>
      <c r="G6" s="254" t="s">
        <v>112</v>
      </c>
      <c r="H6" s="123"/>
      <c r="I6" s="56"/>
      <c r="J6" s="56"/>
      <c r="K6" s="106">
        <v>0</v>
      </c>
      <c r="L6" s="31">
        <v>0</v>
      </c>
      <c r="M6" s="104">
        <f t="shared" si="0"/>
        <v>0</v>
      </c>
      <c r="N6" s="105">
        <f t="shared" si="1"/>
        <v>0</v>
      </c>
      <c r="O6" s="32">
        <f t="shared" si="2"/>
        <v>0</v>
      </c>
      <c r="P6" s="98"/>
      <c r="Q6" s="98"/>
    </row>
    <row r="7" spans="1:17" ht="15.6" x14ac:dyDescent="0.3">
      <c r="A7" s="55">
        <f t="shared" si="3"/>
        <v>62</v>
      </c>
      <c r="B7" s="291">
        <v>60320</v>
      </c>
      <c r="C7" s="291" t="s">
        <v>243</v>
      </c>
      <c r="D7" s="221">
        <v>2</v>
      </c>
      <c r="E7" s="221" t="s">
        <v>109</v>
      </c>
      <c r="F7" s="254">
        <f>D7*6</f>
        <v>12</v>
      </c>
      <c r="G7" s="222" t="s">
        <v>112</v>
      </c>
      <c r="H7" s="121"/>
      <c r="I7" s="98"/>
      <c r="J7" s="98"/>
      <c r="K7" s="106">
        <v>0</v>
      </c>
      <c r="L7" s="31">
        <v>0</v>
      </c>
      <c r="M7" s="104">
        <f t="shared" si="0"/>
        <v>0</v>
      </c>
      <c r="N7" s="105">
        <f t="shared" si="1"/>
        <v>0</v>
      </c>
      <c r="O7" s="32">
        <f t="shared" si="2"/>
        <v>0</v>
      </c>
      <c r="P7" s="98"/>
      <c r="Q7" s="98"/>
    </row>
    <row r="8" spans="1:17" ht="15.6" x14ac:dyDescent="0.3">
      <c r="A8" s="55">
        <f t="shared" si="3"/>
        <v>63</v>
      </c>
      <c r="B8" s="196">
        <v>307710</v>
      </c>
      <c r="C8" s="159" t="s">
        <v>322</v>
      </c>
      <c r="D8" s="136">
        <v>3</v>
      </c>
      <c r="E8" s="137" t="s">
        <v>109</v>
      </c>
      <c r="F8" s="254">
        <f>D8*12</f>
        <v>36</v>
      </c>
      <c r="G8" s="254" t="s">
        <v>112</v>
      </c>
      <c r="H8" s="123"/>
      <c r="I8" s="56"/>
      <c r="J8" s="56"/>
      <c r="K8" s="106">
        <v>0</v>
      </c>
      <c r="L8" s="31">
        <v>0</v>
      </c>
      <c r="M8" s="104">
        <f t="shared" si="0"/>
        <v>0</v>
      </c>
      <c r="N8" s="105">
        <f t="shared" si="1"/>
        <v>0</v>
      </c>
      <c r="O8" s="32">
        <f t="shared" si="2"/>
        <v>0</v>
      </c>
      <c r="P8" s="98"/>
      <c r="Q8" s="98"/>
    </row>
    <row r="9" spans="1:17" ht="15.6" x14ac:dyDescent="0.3">
      <c r="A9" s="55">
        <f t="shared" si="3"/>
        <v>64</v>
      </c>
      <c r="B9" s="196">
        <v>70000</v>
      </c>
      <c r="C9" s="159" t="s">
        <v>323</v>
      </c>
      <c r="D9" s="154">
        <v>2</v>
      </c>
      <c r="E9" s="137" t="s">
        <v>109</v>
      </c>
      <c r="F9" s="254">
        <f>D9*3*5</f>
        <v>30</v>
      </c>
      <c r="G9" s="254" t="s">
        <v>240</v>
      </c>
      <c r="H9" s="123"/>
      <c r="I9" s="56"/>
      <c r="J9" s="56"/>
      <c r="K9" s="106">
        <v>0</v>
      </c>
      <c r="L9" s="31">
        <v>0</v>
      </c>
      <c r="M9" s="104">
        <f t="shared" si="0"/>
        <v>0</v>
      </c>
      <c r="N9" s="105">
        <f t="shared" si="1"/>
        <v>0</v>
      </c>
      <c r="O9" s="32">
        <f t="shared" si="2"/>
        <v>0</v>
      </c>
      <c r="P9" s="145"/>
      <c r="Q9" s="98"/>
    </row>
    <row r="10" spans="1:17" ht="15.6" x14ac:dyDescent="0.3">
      <c r="A10" s="55">
        <f t="shared" si="3"/>
        <v>65</v>
      </c>
      <c r="B10" s="291">
        <v>67894</v>
      </c>
      <c r="C10" s="291" t="s">
        <v>245</v>
      </c>
      <c r="D10" s="221">
        <v>2</v>
      </c>
      <c r="E10" s="221" t="s">
        <v>109</v>
      </c>
      <c r="F10" s="254">
        <f>D10*2*5</f>
        <v>20</v>
      </c>
      <c r="G10" s="222" t="s">
        <v>225</v>
      </c>
      <c r="H10" s="121"/>
      <c r="I10" s="98"/>
      <c r="J10" s="98"/>
      <c r="K10" s="106">
        <v>0</v>
      </c>
      <c r="L10" s="31">
        <v>0</v>
      </c>
      <c r="M10" s="104">
        <f t="shared" si="0"/>
        <v>0</v>
      </c>
      <c r="N10" s="105">
        <f t="shared" si="1"/>
        <v>0</v>
      </c>
      <c r="O10" s="32">
        <f t="shared" si="2"/>
        <v>0</v>
      </c>
      <c r="P10" s="98"/>
      <c r="Q10" s="98"/>
    </row>
    <row r="11" spans="1:17" ht="15.6" x14ac:dyDescent="0.3">
      <c r="A11" s="55">
        <f t="shared" si="3"/>
        <v>66</v>
      </c>
      <c r="B11" s="291">
        <v>402264</v>
      </c>
      <c r="C11" s="159" t="s">
        <v>324</v>
      </c>
      <c r="D11" s="221">
        <v>4</v>
      </c>
      <c r="E11" s="221" t="s">
        <v>109</v>
      </c>
      <c r="F11" s="254">
        <f>D11*12</f>
        <v>48</v>
      </c>
      <c r="G11" s="222" t="s">
        <v>112</v>
      </c>
      <c r="H11" s="121"/>
      <c r="I11" s="98"/>
      <c r="J11" s="98"/>
      <c r="K11" s="106">
        <v>0</v>
      </c>
      <c r="L11" s="31">
        <v>0</v>
      </c>
      <c r="M11" s="104">
        <f t="shared" si="0"/>
        <v>0</v>
      </c>
      <c r="N11" s="105">
        <f t="shared" si="1"/>
        <v>0</v>
      </c>
      <c r="O11" s="32">
        <f t="shared" si="2"/>
        <v>0</v>
      </c>
      <c r="P11" s="98"/>
      <c r="Q11" s="98"/>
    </row>
    <row r="12" spans="1:17" s="46" customFormat="1" ht="16.95" customHeight="1" x14ac:dyDescent="0.3">
      <c r="A12" s="55">
        <f t="shared" si="3"/>
        <v>67</v>
      </c>
      <c r="B12" s="291">
        <v>392765</v>
      </c>
      <c r="C12" s="159" t="s">
        <v>325</v>
      </c>
      <c r="D12" s="221">
        <v>2</v>
      </c>
      <c r="E12" s="221" t="s">
        <v>109</v>
      </c>
      <c r="F12" s="254">
        <f>D12*6</f>
        <v>12</v>
      </c>
      <c r="G12" s="222" t="s">
        <v>112</v>
      </c>
      <c r="H12" s="121"/>
      <c r="I12" s="98"/>
      <c r="J12" s="98"/>
      <c r="K12" s="106">
        <v>0</v>
      </c>
      <c r="L12" s="31">
        <v>0</v>
      </c>
      <c r="M12" s="104">
        <f t="shared" si="0"/>
        <v>0</v>
      </c>
      <c r="N12" s="105">
        <f t="shared" si="1"/>
        <v>0</v>
      </c>
      <c r="O12" s="32">
        <f t="shared" si="2"/>
        <v>0</v>
      </c>
      <c r="P12" s="98"/>
      <c r="Q12" s="98"/>
    </row>
    <row r="13" spans="1:17" s="173" customFormat="1" ht="16.95" customHeight="1" x14ac:dyDescent="0.3">
      <c r="A13" s="55">
        <f t="shared" si="3"/>
        <v>68</v>
      </c>
      <c r="B13" s="291">
        <v>402213</v>
      </c>
      <c r="C13" s="160" t="s">
        <v>326</v>
      </c>
      <c r="D13" s="221">
        <v>6</v>
      </c>
      <c r="E13" s="221" t="s">
        <v>109</v>
      </c>
      <c r="F13" s="254">
        <f>D13*12</f>
        <v>72</v>
      </c>
      <c r="G13" s="222" t="s">
        <v>112</v>
      </c>
      <c r="H13" s="121"/>
      <c r="I13" s="98"/>
      <c r="J13" s="98"/>
      <c r="K13" s="106">
        <v>0</v>
      </c>
      <c r="L13" s="31">
        <v>0</v>
      </c>
      <c r="M13" s="104">
        <f t="shared" si="0"/>
        <v>0</v>
      </c>
      <c r="N13" s="105">
        <f t="shared" si="1"/>
        <v>0</v>
      </c>
      <c r="O13" s="32">
        <f t="shared" si="2"/>
        <v>0</v>
      </c>
      <c r="P13" s="98"/>
      <c r="Q13" s="98"/>
    </row>
    <row r="14" spans="1:17" ht="16.2" customHeight="1" x14ac:dyDescent="0.3">
      <c r="A14" s="55">
        <f t="shared" si="3"/>
        <v>69</v>
      </c>
      <c r="B14" s="196">
        <v>403461</v>
      </c>
      <c r="C14" s="159" t="s">
        <v>327</v>
      </c>
      <c r="D14" s="221">
        <v>3</v>
      </c>
      <c r="E14" s="221" t="s">
        <v>133</v>
      </c>
      <c r="F14" s="254">
        <f>D14*24</f>
        <v>72</v>
      </c>
      <c r="G14" s="222" t="s">
        <v>112</v>
      </c>
      <c r="H14" s="123"/>
      <c r="I14" s="56"/>
      <c r="J14" s="56"/>
      <c r="K14" s="106">
        <v>0</v>
      </c>
      <c r="L14" s="31">
        <v>0</v>
      </c>
      <c r="M14" s="104">
        <f t="shared" si="0"/>
        <v>0</v>
      </c>
      <c r="N14" s="105">
        <f t="shared" si="1"/>
        <v>0</v>
      </c>
      <c r="O14" s="32">
        <f t="shared" si="2"/>
        <v>0</v>
      </c>
      <c r="P14" s="98"/>
      <c r="Q14" s="98"/>
    </row>
    <row r="15" spans="1:17" ht="15.6" x14ac:dyDescent="0.3">
      <c r="A15" s="55">
        <f t="shared" si="3"/>
        <v>70</v>
      </c>
      <c r="B15" s="291">
        <v>385737</v>
      </c>
      <c r="C15" s="160" t="s">
        <v>328</v>
      </c>
      <c r="D15" s="221">
        <v>3</v>
      </c>
      <c r="E15" s="221" t="s">
        <v>133</v>
      </c>
      <c r="F15" s="254">
        <f>D15*4</f>
        <v>12</v>
      </c>
      <c r="G15" s="222" t="s">
        <v>112</v>
      </c>
      <c r="H15" s="121"/>
      <c r="I15" s="98"/>
      <c r="J15" s="98"/>
      <c r="K15" s="106">
        <v>0</v>
      </c>
      <c r="L15" s="31">
        <v>0</v>
      </c>
      <c r="M15" s="104">
        <f t="shared" si="0"/>
        <v>0</v>
      </c>
      <c r="N15" s="105">
        <f t="shared" si="1"/>
        <v>0</v>
      </c>
      <c r="O15" s="32">
        <f t="shared" si="2"/>
        <v>0</v>
      </c>
      <c r="P15" s="98"/>
      <c r="Q15" s="98"/>
    </row>
    <row r="16" spans="1:17" ht="15.6" x14ac:dyDescent="0.3">
      <c r="A16" s="55">
        <f t="shared" si="3"/>
        <v>71</v>
      </c>
      <c r="B16" s="291">
        <v>363432</v>
      </c>
      <c r="C16" s="160" t="s">
        <v>329</v>
      </c>
      <c r="D16" s="221">
        <v>62</v>
      </c>
      <c r="E16" s="221" t="s">
        <v>133</v>
      </c>
      <c r="F16" s="254">
        <f>D16*6</f>
        <v>372</v>
      </c>
      <c r="G16" s="222" t="s">
        <v>112</v>
      </c>
      <c r="H16" s="121"/>
      <c r="I16" s="98"/>
      <c r="J16" s="98"/>
      <c r="K16" s="106">
        <v>0</v>
      </c>
      <c r="L16" s="31">
        <v>0</v>
      </c>
      <c r="M16" s="104">
        <f t="shared" si="0"/>
        <v>0</v>
      </c>
      <c r="N16" s="105">
        <f t="shared" si="1"/>
        <v>0</v>
      </c>
      <c r="O16" s="32">
        <f t="shared" si="2"/>
        <v>0</v>
      </c>
      <c r="P16" s="98"/>
      <c r="Q16" s="98"/>
    </row>
    <row r="17" spans="1:17" ht="15.6" x14ac:dyDescent="0.3">
      <c r="A17" s="55">
        <f t="shared" si="3"/>
        <v>72</v>
      </c>
      <c r="B17" s="326">
        <v>33297</v>
      </c>
      <c r="C17" s="159" t="s">
        <v>330</v>
      </c>
      <c r="D17" s="324">
        <v>52</v>
      </c>
      <c r="E17" s="324" t="s">
        <v>109</v>
      </c>
      <c r="F17" s="325">
        <f>D17*6</f>
        <v>312</v>
      </c>
      <c r="G17" s="325" t="s">
        <v>112</v>
      </c>
      <c r="H17" s="320"/>
      <c r="I17" s="321"/>
      <c r="J17" s="322"/>
      <c r="K17" s="106">
        <v>0</v>
      </c>
      <c r="L17" s="31">
        <v>0</v>
      </c>
      <c r="M17" s="104">
        <f t="shared" si="0"/>
        <v>0</v>
      </c>
      <c r="N17" s="105">
        <f t="shared" si="1"/>
        <v>0</v>
      </c>
      <c r="O17" s="32">
        <f t="shared" si="2"/>
        <v>0</v>
      </c>
      <c r="P17" s="318"/>
      <c r="Q17" s="319"/>
    </row>
    <row r="18" spans="1:17" ht="15.6" x14ac:dyDescent="0.3">
      <c r="A18" s="55">
        <f t="shared" si="3"/>
        <v>73</v>
      </c>
      <c r="B18" s="291">
        <v>367325</v>
      </c>
      <c r="C18" s="160" t="s">
        <v>331</v>
      </c>
      <c r="D18" s="221">
        <v>5</v>
      </c>
      <c r="E18" s="221" t="s">
        <v>109</v>
      </c>
      <c r="F18" s="254">
        <f>D18*6</f>
        <v>30</v>
      </c>
      <c r="G18" s="325" t="s">
        <v>112</v>
      </c>
      <c r="H18" s="121"/>
      <c r="I18" s="98"/>
      <c r="J18" s="98"/>
      <c r="K18" s="106">
        <v>0</v>
      </c>
      <c r="L18" s="31">
        <v>0</v>
      </c>
      <c r="M18" s="104">
        <f t="shared" si="0"/>
        <v>0</v>
      </c>
      <c r="N18" s="105">
        <f t="shared" si="1"/>
        <v>0</v>
      </c>
      <c r="O18" s="32">
        <f t="shared" si="2"/>
        <v>0</v>
      </c>
      <c r="P18" s="98"/>
      <c r="Q18" s="98"/>
    </row>
    <row r="19" spans="1:17" s="46" customFormat="1" ht="15.6" x14ac:dyDescent="0.3">
      <c r="A19" s="55">
        <f t="shared" si="3"/>
        <v>74</v>
      </c>
      <c r="B19" s="291">
        <v>392382</v>
      </c>
      <c r="C19" s="159" t="s">
        <v>332</v>
      </c>
      <c r="D19" s="221">
        <v>8</v>
      </c>
      <c r="E19" s="221" t="s">
        <v>133</v>
      </c>
      <c r="F19" s="254">
        <f>D19*6</f>
        <v>48</v>
      </c>
      <c r="G19" s="325" t="s">
        <v>112</v>
      </c>
      <c r="H19" s="121"/>
      <c r="I19" s="98"/>
      <c r="J19" s="98"/>
      <c r="K19" s="106">
        <v>0</v>
      </c>
      <c r="L19" s="31">
        <v>0</v>
      </c>
      <c r="M19" s="104">
        <f t="shared" si="0"/>
        <v>0</v>
      </c>
      <c r="N19" s="105">
        <f t="shared" si="1"/>
        <v>0</v>
      </c>
      <c r="O19" s="32">
        <f t="shared" si="2"/>
        <v>0</v>
      </c>
      <c r="P19" s="98"/>
      <c r="Q19" s="98"/>
    </row>
    <row r="20" spans="1:17" ht="15.6" x14ac:dyDescent="0.3">
      <c r="A20" s="55">
        <f t="shared" si="3"/>
        <v>75</v>
      </c>
      <c r="B20" s="291">
        <v>58042</v>
      </c>
      <c r="C20" s="338" t="s">
        <v>333</v>
      </c>
      <c r="D20" s="221">
        <v>2</v>
      </c>
      <c r="E20" s="221" t="s">
        <v>109</v>
      </c>
      <c r="F20" s="254">
        <f>D20*3*5</f>
        <v>30</v>
      </c>
      <c r="G20" s="222" t="s">
        <v>225</v>
      </c>
      <c r="H20" s="121"/>
      <c r="I20" s="98"/>
      <c r="J20" s="98"/>
      <c r="K20" s="106">
        <v>0</v>
      </c>
      <c r="L20" s="31">
        <v>0</v>
      </c>
      <c r="M20" s="104">
        <f t="shared" si="0"/>
        <v>0</v>
      </c>
      <c r="N20" s="105">
        <f t="shared" si="1"/>
        <v>0</v>
      </c>
      <c r="O20" s="32">
        <f t="shared" si="2"/>
        <v>0</v>
      </c>
      <c r="P20" s="98"/>
      <c r="Q20" s="98"/>
    </row>
    <row r="21" spans="1:17" s="46" customFormat="1" ht="15.6" x14ac:dyDescent="0.3">
      <c r="A21" s="55">
        <f t="shared" si="3"/>
        <v>76</v>
      </c>
      <c r="B21" s="196">
        <v>406737</v>
      </c>
      <c r="C21" s="159" t="s">
        <v>334</v>
      </c>
      <c r="D21" s="221">
        <f>10+14</f>
        <v>24</v>
      </c>
      <c r="E21" s="221" t="s">
        <v>109</v>
      </c>
      <c r="F21" s="254">
        <f>D21*16</f>
        <v>384</v>
      </c>
      <c r="G21" s="222" t="s">
        <v>222</v>
      </c>
      <c r="H21" s="123"/>
      <c r="I21" s="56"/>
      <c r="J21" s="56"/>
      <c r="K21" s="106">
        <v>0</v>
      </c>
      <c r="L21" s="31">
        <v>0</v>
      </c>
      <c r="M21" s="104">
        <f t="shared" si="0"/>
        <v>0</v>
      </c>
      <c r="N21" s="105">
        <f t="shared" si="1"/>
        <v>0</v>
      </c>
      <c r="O21" s="32">
        <f t="shared" si="2"/>
        <v>0</v>
      </c>
      <c r="P21" s="98"/>
      <c r="Q21" s="98"/>
    </row>
    <row r="22" spans="1:17" ht="15.6" x14ac:dyDescent="0.3">
      <c r="A22" s="55">
        <f t="shared" si="3"/>
        <v>77</v>
      </c>
      <c r="B22" s="196">
        <v>349385</v>
      </c>
      <c r="C22" s="208" t="s">
        <v>335</v>
      </c>
      <c r="D22" s="221">
        <v>2</v>
      </c>
      <c r="E22" s="221" t="s">
        <v>109</v>
      </c>
      <c r="F22" s="254">
        <f>D22*16</f>
        <v>32</v>
      </c>
      <c r="G22" s="222" t="s">
        <v>222</v>
      </c>
      <c r="H22" s="123"/>
      <c r="I22" s="56"/>
      <c r="J22" s="56"/>
      <c r="K22" s="106">
        <v>0</v>
      </c>
      <c r="L22" s="31">
        <v>0</v>
      </c>
      <c r="M22" s="104">
        <f t="shared" si="0"/>
        <v>0</v>
      </c>
      <c r="N22" s="105">
        <f t="shared" si="1"/>
        <v>0</v>
      </c>
      <c r="O22" s="32">
        <f t="shared" si="2"/>
        <v>0</v>
      </c>
      <c r="P22" s="98"/>
      <c r="Q22" s="98"/>
    </row>
    <row r="23" spans="1:17" ht="15.6" x14ac:dyDescent="0.3">
      <c r="A23" s="55">
        <f t="shared" si="3"/>
        <v>78</v>
      </c>
      <c r="B23" s="291">
        <v>344981</v>
      </c>
      <c r="C23" s="338" t="s">
        <v>244</v>
      </c>
      <c r="D23" s="221">
        <v>5</v>
      </c>
      <c r="E23" s="221" t="s">
        <v>109</v>
      </c>
      <c r="F23" s="254">
        <f>D23*2*5</f>
        <v>50</v>
      </c>
      <c r="G23" s="222" t="s">
        <v>225</v>
      </c>
      <c r="H23" s="121"/>
      <c r="I23" s="98"/>
      <c r="J23" s="98"/>
      <c r="K23" s="106">
        <v>0</v>
      </c>
      <c r="L23" s="31">
        <v>0</v>
      </c>
      <c r="M23" s="104">
        <f t="shared" si="0"/>
        <v>0</v>
      </c>
      <c r="N23" s="105">
        <f t="shared" si="1"/>
        <v>0</v>
      </c>
      <c r="O23" s="32">
        <f t="shared" si="2"/>
        <v>0</v>
      </c>
      <c r="P23" s="98"/>
      <c r="Q23" s="98"/>
    </row>
    <row r="24" spans="1:17" ht="15.6" x14ac:dyDescent="0.3">
      <c r="A24" s="55">
        <f t="shared" si="3"/>
        <v>79</v>
      </c>
      <c r="B24" s="197">
        <v>192356</v>
      </c>
      <c r="C24" s="209" t="s">
        <v>336</v>
      </c>
      <c r="D24" s="137">
        <v>30</v>
      </c>
      <c r="E24" s="137" t="s">
        <v>109</v>
      </c>
      <c r="F24" s="254">
        <f>20*12</f>
        <v>240</v>
      </c>
      <c r="G24" s="254" t="s">
        <v>112</v>
      </c>
      <c r="H24" s="123"/>
      <c r="I24" s="56"/>
      <c r="J24" s="56"/>
      <c r="K24" s="106">
        <v>0</v>
      </c>
      <c r="L24" s="31">
        <v>0</v>
      </c>
      <c r="M24" s="104">
        <f t="shared" si="0"/>
        <v>0</v>
      </c>
      <c r="N24" s="105">
        <f t="shared" si="1"/>
        <v>0</v>
      </c>
      <c r="O24" s="32">
        <f t="shared" si="2"/>
        <v>0</v>
      </c>
      <c r="P24" s="145"/>
      <c r="Q24" s="98"/>
    </row>
    <row r="25" spans="1:17" ht="15.6" x14ac:dyDescent="0.3">
      <c r="A25" s="55">
        <f t="shared" si="3"/>
        <v>80</v>
      </c>
      <c r="B25" s="198">
        <v>309493</v>
      </c>
      <c r="C25" s="194" t="s">
        <v>337</v>
      </c>
      <c r="D25" s="136">
        <v>3</v>
      </c>
      <c r="E25" s="137" t="s">
        <v>109</v>
      </c>
      <c r="F25" s="254">
        <f>D25*6</f>
        <v>18</v>
      </c>
      <c r="G25" s="254" t="s">
        <v>112</v>
      </c>
      <c r="H25" s="123"/>
      <c r="I25" s="56"/>
      <c r="J25" s="56"/>
      <c r="K25" s="106">
        <v>0</v>
      </c>
      <c r="L25" s="31">
        <v>0</v>
      </c>
      <c r="M25" s="104">
        <f t="shared" si="0"/>
        <v>0</v>
      </c>
      <c r="N25" s="105">
        <f t="shared" si="1"/>
        <v>0</v>
      </c>
      <c r="O25" s="32">
        <f t="shared" si="2"/>
        <v>0</v>
      </c>
      <c r="P25" s="98"/>
      <c r="Q25" s="98"/>
    </row>
    <row r="26" spans="1:17" ht="15.6" x14ac:dyDescent="0.3">
      <c r="A26" s="55">
        <f t="shared" si="3"/>
        <v>81</v>
      </c>
      <c r="B26" s="215">
        <v>274568</v>
      </c>
      <c r="C26" s="190" t="s">
        <v>338</v>
      </c>
      <c r="D26" s="296">
        <v>8</v>
      </c>
      <c r="E26" s="137" t="s">
        <v>118</v>
      </c>
      <c r="F26" s="254">
        <f>8*10</f>
        <v>80</v>
      </c>
      <c r="G26" s="254" t="s">
        <v>225</v>
      </c>
      <c r="H26" s="123"/>
      <c r="I26" s="56"/>
      <c r="J26" s="56"/>
      <c r="K26" s="106">
        <v>0</v>
      </c>
      <c r="L26" s="31">
        <v>0</v>
      </c>
      <c r="M26" s="104">
        <f t="shared" si="0"/>
        <v>0</v>
      </c>
      <c r="N26" s="105">
        <f t="shared" si="1"/>
        <v>0</v>
      </c>
      <c r="O26" s="32">
        <f t="shared" si="2"/>
        <v>0</v>
      </c>
      <c r="P26" s="145"/>
      <c r="Q26" s="98"/>
    </row>
    <row r="27" spans="1:17" ht="15.6" x14ac:dyDescent="0.3">
      <c r="A27" s="55">
        <f t="shared" si="3"/>
        <v>82</v>
      </c>
      <c r="B27" s="293">
        <v>312475</v>
      </c>
      <c r="C27" s="287" t="s">
        <v>339</v>
      </c>
      <c r="D27" s="221">
        <v>3</v>
      </c>
      <c r="E27" s="221" t="s">
        <v>109</v>
      </c>
      <c r="F27" s="254">
        <f>D27*4*2.6</f>
        <v>31.200000000000003</v>
      </c>
      <c r="G27" s="221" t="s">
        <v>240</v>
      </c>
      <c r="H27" s="56"/>
      <c r="I27" s="56"/>
      <c r="J27" s="56"/>
      <c r="K27" s="106">
        <v>0</v>
      </c>
      <c r="L27" s="31">
        <v>0</v>
      </c>
      <c r="M27" s="104">
        <f t="shared" si="0"/>
        <v>0</v>
      </c>
      <c r="N27" s="105">
        <f t="shared" si="1"/>
        <v>0</v>
      </c>
      <c r="O27" s="32">
        <f t="shared" si="2"/>
        <v>0</v>
      </c>
      <c r="P27" s="98"/>
      <c r="Q27" s="98"/>
    </row>
    <row r="28" spans="1:17" ht="15.6" x14ac:dyDescent="0.3">
      <c r="A28" s="55">
        <f t="shared" si="3"/>
        <v>83</v>
      </c>
      <c r="B28" s="193">
        <v>379508</v>
      </c>
      <c r="C28" s="193" t="s">
        <v>242</v>
      </c>
      <c r="D28" s="221">
        <v>5</v>
      </c>
      <c r="E28" s="221" t="s">
        <v>117</v>
      </c>
      <c r="F28" s="254">
        <f>D28*80</f>
        <v>400</v>
      </c>
      <c r="G28" s="221" t="s">
        <v>112</v>
      </c>
      <c r="H28" s="98"/>
      <c r="I28" s="98"/>
      <c r="J28" s="98"/>
      <c r="K28" s="106">
        <v>0</v>
      </c>
      <c r="L28" s="31">
        <v>0</v>
      </c>
      <c r="M28" s="104">
        <f t="shared" si="0"/>
        <v>0</v>
      </c>
      <c r="N28" s="105">
        <f t="shared" si="1"/>
        <v>0</v>
      </c>
      <c r="O28" s="32">
        <f t="shared" si="2"/>
        <v>0</v>
      </c>
      <c r="P28" s="98"/>
      <c r="Q28" s="98"/>
    </row>
    <row r="29" spans="1:17" s="46" customFormat="1" ht="15.6" x14ac:dyDescent="0.3">
      <c r="A29" s="55">
        <f t="shared" si="3"/>
        <v>84</v>
      </c>
      <c r="B29" s="293">
        <v>303054</v>
      </c>
      <c r="C29" s="160" t="s">
        <v>340</v>
      </c>
      <c r="D29" s="136">
        <v>5</v>
      </c>
      <c r="E29" s="137" t="s">
        <v>118</v>
      </c>
      <c r="F29" s="254">
        <f>D29*25</f>
        <v>125</v>
      </c>
      <c r="G29" s="137" t="s">
        <v>239</v>
      </c>
      <c r="H29" s="56"/>
      <c r="I29" s="56"/>
      <c r="J29" s="56"/>
      <c r="K29" s="106">
        <v>0</v>
      </c>
      <c r="L29" s="31">
        <v>0</v>
      </c>
      <c r="M29" s="104">
        <f t="shared" si="0"/>
        <v>0</v>
      </c>
      <c r="N29" s="105">
        <f t="shared" si="1"/>
        <v>0</v>
      </c>
      <c r="O29" s="32">
        <f t="shared" si="2"/>
        <v>0</v>
      </c>
      <c r="P29" s="98"/>
      <c r="Q29" s="98"/>
    </row>
    <row r="30" spans="1:17" ht="15.6" x14ac:dyDescent="0.3">
      <c r="A30" s="55">
        <f t="shared" si="3"/>
        <v>85</v>
      </c>
      <c r="B30" s="293">
        <v>278522</v>
      </c>
      <c r="C30" s="287" t="s">
        <v>341</v>
      </c>
      <c r="D30" s="136">
        <v>5</v>
      </c>
      <c r="E30" s="137" t="s">
        <v>109</v>
      </c>
      <c r="F30" s="254">
        <f>D30*3*5</f>
        <v>75</v>
      </c>
      <c r="G30" s="137" t="s">
        <v>225</v>
      </c>
      <c r="H30" s="56"/>
      <c r="I30" s="56"/>
      <c r="J30" s="56"/>
      <c r="K30" s="106">
        <v>0</v>
      </c>
      <c r="L30" s="31">
        <v>0</v>
      </c>
      <c r="M30" s="104">
        <f t="shared" si="0"/>
        <v>0</v>
      </c>
      <c r="N30" s="105">
        <f t="shared" si="1"/>
        <v>0</v>
      </c>
      <c r="O30" s="32">
        <f t="shared" si="2"/>
        <v>0</v>
      </c>
      <c r="P30" s="145"/>
      <c r="Q30" s="98"/>
    </row>
    <row r="31" spans="1:17" ht="15.6" x14ac:dyDescent="0.3">
      <c r="A31" s="55">
        <f t="shared" si="3"/>
        <v>86</v>
      </c>
      <c r="B31" s="193">
        <v>367015</v>
      </c>
      <c r="C31" s="190" t="s">
        <v>342</v>
      </c>
      <c r="D31" s="221">
        <v>2</v>
      </c>
      <c r="E31" s="221" t="s">
        <v>109</v>
      </c>
      <c r="F31" s="254">
        <f>D31*15</f>
        <v>30</v>
      </c>
      <c r="G31" s="221" t="s">
        <v>112</v>
      </c>
      <c r="H31" s="98"/>
      <c r="I31" s="98"/>
      <c r="J31" s="98"/>
      <c r="K31" s="106">
        <v>0</v>
      </c>
      <c r="L31" s="31">
        <v>0</v>
      </c>
      <c r="M31" s="104">
        <f t="shared" si="0"/>
        <v>0</v>
      </c>
      <c r="N31" s="105">
        <f t="shared" si="1"/>
        <v>0</v>
      </c>
      <c r="O31" s="32">
        <f t="shared" si="2"/>
        <v>0</v>
      </c>
      <c r="P31" s="98"/>
      <c r="Q31" s="98"/>
    </row>
    <row r="32" spans="1:17" ht="15.6" x14ac:dyDescent="0.3">
      <c r="A32" s="55">
        <f t="shared" si="3"/>
        <v>87</v>
      </c>
      <c r="B32" s="193">
        <v>387164</v>
      </c>
      <c r="C32" s="190" t="s">
        <v>343</v>
      </c>
      <c r="D32" s="221">
        <v>6</v>
      </c>
      <c r="E32" s="221" t="s">
        <v>109</v>
      </c>
      <c r="F32" s="254">
        <f>D32*12</f>
        <v>72</v>
      </c>
      <c r="G32" s="221" t="s">
        <v>112</v>
      </c>
      <c r="H32" s="98"/>
      <c r="I32" s="98"/>
      <c r="J32" s="98"/>
      <c r="K32" s="106">
        <v>0</v>
      </c>
      <c r="L32" s="31">
        <v>0</v>
      </c>
      <c r="M32" s="104">
        <f t="shared" si="0"/>
        <v>0</v>
      </c>
      <c r="N32" s="105">
        <f t="shared" si="1"/>
        <v>0</v>
      </c>
      <c r="O32" s="32">
        <f t="shared" si="2"/>
        <v>0</v>
      </c>
      <c r="P32" s="98"/>
      <c r="Q32" s="98"/>
    </row>
    <row r="33" spans="1:17" s="46" customFormat="1" ht="15.6" x14ac:dyDescent="0.3">
      <c r="A33" s="55">
        <f t="shared" si="3"/>
        <v>88</v>
      </c>
      <c r="B33" s="193">
        <v>402363</v>
      </c>
      <c r="C33" s="160" t="s">
        <v>344</v>
      </c>
      <c r="D33" s="221">
        <v>6</v>
      </c>
      <c r="E33" s="221" t="s">
        <v>109</v>
      </c>
      <c r="F33" s="254">
        <f>D33*3</f>
        <v>18</v>
      </c>
      <c r="G33" s="221" t="s">
        <v>112</v>
      </c>
      <c r="H33" s="98"/>
      <c r="I33" s="98"/>
      <c r="J33" s="98"/>
      <c r="K33" s="106">
        <v>0</v>
      </c>
      <c r="L33" s="31">
        <v>0</v>
      </c>
      <c r="M33" s="104">
        <f t="shared" si="0"/>
        <v>0</v>
      </c>
      <c r="N33" s="105">
        <f t="shared" si="1"/>
        <v>0</v>
      </c>
      <c r="O33" s="32">
        <f t="shared" si="2"/>
        <v>0</v>
      </c>
      <c r="P33" s="98"/>
      <c r="Q33" s="98"/>
    </row>
    <row r="34" spans="1:17" ht="15.6" x14ac:dyDescent="0.3">
      <c r="A34" s="55">
        <f t="shared" si="3"/>
        <v>89</v>
      </c>
      <c r="B34" s="215">
        <v>280467</v>
      </c>
      <c r="C34" s="190" t="s">
        <v>345</v>
      </c>
      <c r="D34" s="221">
        <v>130</v>
      </c>
      <c r="E34" s="221" t="s">
        <v>110</v>
      </c>
      <c r="F34" s="254">
        <f>D34*1230</f>
        <v>159900</v>
      </c>
      <c r="G34" s="221" t="s">
        <v>217</v>
      </c>
      <c r="H34" s="56"/>
      <c r="I34" s="56"/>
      <c r="J34" s="56"/>
      <c r="K34" s="106">
        <v>0</v>
      </c>
      <c r="L34" s="31">
        <v>0</v>
      </c>
      <c r="M34" s="104">
        <f t="shared" ref="M34:M65" si="4">K34+K34*L34</f>
        <v>0</v>
      </c>
      <c r="N34" s="105">
        <f t="shared" ref="N34:N65" si="5">J34*M34</f>
        <v>0</v>
      </c>
      <c r="O34" s="32">
        <f t="shared" ref="O34:O50" si="6">M34*F34</f>
        <v>0</v>
      </c>
      <c r="P34" s="98"/>
      <c r="Q34" s="98"/>
    </row>
    <row r="35" spans="1:17" s="46" customFormat="1" ht="15.6" x14ac:dyDescent="0.3">
      <c r="A35" s="55">
        <f t="shared" si="3"/>
        <v>90</v>
      </c>
      <c r="B35" s="215">
        <v>66849</v>
      </c>
      <c r="C35" s="159" t="s">
        <v>346</v>
      </c>
      <c r="D35" s="136">
        <v>2</v>
      </c>
      <c r="E35" s="137" t="s">
        <v>109</v>
      </c>
      <c r="F35" s="254">
        <f>D35*12</f>
        <v>24</v>
      </c>
      <c r="G35" s="137" t="s">
        <v>225</v>
      </c>
      <c r="H35" s="56"/>
      <c r="I35" s="56"/>
      <c r="J35" s="56"/>
      <c r="K35" s="106">
        <v>0</v>
      </c>
      <c r="L35" s="31">
        <v>0</v>
      </c>
      <c r="M35" s="104">
        <f t="shared" si="4"/>
        <v>0</v>
      </c>
      <c r="N35" s="105">
        <f t="shared" si="5"/>
        <v>0</v>
      </c>
      <c r="O35" s="32">
        <f t="shared" si="6"/>
        <v>0</v>
      </c>
      <c r="P35" s="145"/>
      <c r="Q35" s="98"/>
    </row>
    <row r="36" spans="1:17" s="46" customFormat="1" ht="15.6" x14ac:dyDescent="0.3">
      <c r="A36" s="55">
        <f t="shared" si="3"/>
        <v>91</v>
      </c>
      <c r="B36" s="293">
        <v>66561</v>
      </c>
      <c r="C36" s="160" t="s">
        <v>347</v>
      </c>
      <c r="D36" s="136">
        <v>2</v>
      </c>
      <c r="E36" s="137" t="s">
        <v>109</v>
      </c>
      <c r="F36" s="254">
        <f>D36*12</f>
        <v>24</v>
      </c>
      <c r="G36" s="137" t="s">
        <v>225</v>
      </c>
      <c r="H36" s="56"/>
      <c r="I36" s="56"/>
      <c r="J36" s="56"/>
      <c r="K36" s="106">
        <v>0</v>
      </c>
      <c r="L36" s="31">
        <v>0</v>
      </c>
      <c r="M36" s="104">
        <f t="shared" si="4"/>
        <v>0</v>
      </c>
      <c r="N36" s="105">
        <f t="shared" si="5"/>
        <v>0</v>
      </c>
      <c r="O36" s="32">
        <f t="shared" si="6"/>
        <v>0</v>
      </c>
      <c r="P36" s="145"/>
      <c r="Q36" s="98"/>
    </row>
    <row r="37" spans="1:17" s="46" customFormat="1" ht="15.6" x14ac:dyDescent="0.3">
      <c r="A37" s="55">
        <f t="shared" si="3"/>
        <v>92</v>
      </c>
      <c r="B37" s="215">
        <v>84852</v>
      </c>
      <c r="C37" s="159" t="s">
        <v>348</v>
      </c>
      <c r="D37" s="136">
        <v>4</v>
      </c>
      <c r="E37" s="137" t="s">
        <v>109</v>
      </c>
      <c r="F37" s="254">
        <f>D37*2</f>
        <v>8</v>
      </c>
      <c r="G37" s="137" t="s">
        <v>112</v>
      </c>
      <c r="H37" s="56"/>
      <c r="I37" s="56"/>
      <c r="J37" s="56"/>
      <c r="K37" s="106">
        <v>0</v>
      </c>
      <c r="L37" s="31">
        <v>0</v>
      </c>
      <c r="M37" s="104">
        <f t="shared" si="4"/>
        <v>0</v>
      </c>
      <c r="N37" s="105">
        <f t="shared" si="5"/>
        <v>0</v>
      </c>
      <c r="O37" s="32">
        <f t="shared" si="6"/>
        <v>0</v>
      </c>
      <c r="P37" s="98"/>
      <c r="Q37" s="98"/>
    </row>
    <row r="38" spans="1:17" ht="15.6" x14ac:dyDescent="0.3">
      <c r="A38" s="55">
        <f t="shared" si="3"/>
        <v>93</v>
      </c>
      <c r="B38" s="215">
        <v>292172</v>
      </c>
      <c r="C38" s="287" t="s">
        <v>349</v>
      </c>
      <c r="D38" s="221">
        <v>22</v>
      </c>
      <c r="E38" s="221" t="s">
        <v>109</v>
      </c>
      <c r="F38" s="254">
        <f>D38*6</f>
        <v>132</v>
      </c>
      <c r="G38" s="221" t="s">
        <v>278</v>
      </c>
      <c r="H38" s="56"/>
      <c r="I38" s="56"/>
      <c r="J38" s="56"/>
      <c r="K38" s="106">
        <v>0</v>
      </c>
      <c r="L38" s="31">
        <v>0</v>
      </c>
      <c r="M38" s="104">
        <f t="shared" si="4"/>
        <v>0</v>
      </c>
      <c r="N38" s="105">
        <f t="shared" si="5"/>
        <v>0</v>
      </c>
      <c r="O38" s="32">
        <f t="shared" si="6"/>
        <v>0</v>
      </c>
      <c r="P38" s="98"/>
      <c r="Q38" s="98"/>
    </row>
    <row r="39" spans="1:17" s="46" customFormat="1" ht="16.2" x14ac:dyDescent="0.3">
      <c r="A39" s="55">
        <f t="shared" si="3"/>
        <v>94</v>
      </c>
      <c r="B39" s="298">
        <v>307693</v>
      </c>
      <c r="C39" s="160" t="s">
        <v>350</v>
      </c>
      <c r="D39" s="136">
        <v>6</v>
      </c>
      <c r="E39" s="170" t="s">
        <v>109</v>
      </c>
      <c r="F39" s="254">
        <f>D39*12</f>
        <v>72</v>
      </c>
      <c r="G39" s="137" t="s">
        <v>225</v>
      </c>
      <c r="H39" s="171"/>
      <c r="I39" s="171"/>
      <c r="J39" s="171"/>
      <c r="K39" s="106">
        <v>0</v>
      </c>
      <c r="L39" s="31">
        <v>0</v>
      </c>
      <c r="M39" s="104">
        <f t="shared" si="4"/>
        <v>0</v>
      </c>
      <c r="N39" s="105">
        <f t="shared" si="5"/>
        <v>0</v>
      </c>
      <c r="O39" s="32">
        <f t="shared" si="6"/>
        <v>0</v>
      </c>
      <c r="P39" s="172"/>
      <c r="Q39" s="172"/>
    </row>
    <row r="40" spans="1:17" ht="15.6" x14ac:dyDescent="0.3">
      <c r="A40" s="55">
        <f t="shared" si="3"/>
        <v>95</v>
      </c>
      <c r="B40" s="215">
        <v>307701</v>
      </c>
      <c r="C40" s="190" t="s">
        <v>351</v>
      </c>
      <c r="D40" s="136">
        <v>3</v>
      </c>
      <c r="E40" s="137" t="s">
        <v>109</v>
      </c>
      <c r="F40" s="254">
        <f>D40*12</f>
        <v>36</v>
      </c>
      <c r="G40" s="137" t="s">
        <v>225</v>
      </c>
      <c r="H40" s="56"/>
      <c r="I40" s="56"/>
      <c r="J40" s="56"/>
      <c r="K40" s="106">
        <v>0</v>
      </c>
      <c r="L40" s="31">
        <v>0</v>
      </c>
      <c r="M40" s="104">
        <f t="shared" si="4"/>
        <v>0</v>
      </c>
      <c r="N40" s="105">
        <f t="shared" si="5"/>
        <v>0</v>
      </c>
      <c r="O40" s="32">
        <f t="shared" si="6"/>
        <v>0</v>
      </c>
      <c r="P40" s="98"/>
      <c r="Q40" s="98"/>
    </row>
    <row r="41" spans="1:17" s="46" customFormat="1" ht="15.6" x14ac:dyDescent="0.3">
      <c r="A41" s="55">
        <f t="shared" si="3"/>
        <v>96</v>
      </c>
      <c r="B41" s="193">
        <v>82817</v>
      </c>
      <c r="C41" s="291" t="s">
        <v>247</v>
      </c>
      <c r="D41" s="221">
        <v>2</v>
      </c>
      <c r="E41" s="221" t="s">
        <v>109</v>
      </c>
      <c r="F41" s="254">
        <f>D41*3*5</f>
        <v>30</v>
      </c>
      <c r="G41" s="221" t="s">
        <v>240</v>
      </c>
      <c r="H41" s="98"/>
      <c r="I41" s="98"/>
      <c r="J41" s="98"/>
      <c r="K41" s="106">
        <v>0</v>
      </c>
      <c r="L41" s="31">
        <v>0</v>
      </c>
      <c r="M41" s="104">
        <f t="shared" si="4"/>
        <v>0</v>
      </c>
      <c r="N41" s="105">
        <f t="shared" si="5"/>
        <v>0</v>
      </c>
      <c r="O41" s="32">
        <f t="shared" si="6"/>
        <v>0</v>
      </c>
      <c r="P41" s="98"/>
      <c r="Q41" s="98"/>
    </row>
    <row r="42" spans="1:17" s="46" customFormat="1" ht="15.6" x14ac:dyDescent="0.3">
      <c r="A42" s="55">
        <f t="shared" si="3"/>
        <v>97</v>
      </c>
      <c r="B42" s="193">
        <v>58043</v>
      </c>
      <c r="C42" s="291" t="s">
        <v>246</v>
      </c>
      <c r="D42" s="221">
        <v>2</v>
      </c>
      <c r="E42" s="221" t="s">
        <v>109</v>
      </c>
      <c r="F42" s="254">
        <f>D42*3*5</f>
        <v>30</v>
      </c>
      <c r="G42" s="221" t="s">
        <v>225</v>
      </c>
      <c r="H42" s="98"/>
      <c r="I42" s="98"/>
      <c r="J42" s="98"/>
      <c r="K42" s="106">
        <v>0</v>
      </c>
      <c r="L42" s="31">
        <v>0</v>
      </c>
      <c r="M42" s="104">
        <f t="shared" si="4"/>
        <v>0</v>
      </c>
      <c r="N42" s="105">
        <f t="shared" si="5"/>
        <v>0</v>
      </c>
      <c r="O42" s="32">
        <f t="shared" si="6"/>
        <v>0</v>
      </c>
      <c r="P42" s="98"/>
      <c r="Q42" s="98"/>
    </row>
    <row r="43" spans="1:17" s="46" customFormat="1" ht="15.6" x14ac:dyDescent="0.3">
      <c r="A43" s="55">
        <f t="shared" si="3"/>
        <v>98</v>
      </c>
      <c r="B43" s="193">
        <v>85181</v>
      </c>
      <c r="C43" s="291" t="s">
        <v>248</v>
      </c>
      <c r="D43" s="221">
        <v>2</v>
      </c>
      <c r="E43" s="221" t="s">
        <v>109</v>
      </c>
      <c r="F43" s="254">
        <f>D43*3*4.5</f>
        <v>27</v>
      </c>
      <c r="G43" s="221" t="s">
        <v>225</v>
      </c>
      <c r="H43" s="98"/>
      <c r="I43" s="98"/>
      <c r="J43" s="98"/>
      <c r="K43" s="106">
        <v>0</v>
      </c>
      <c r="L43" s="31">
        <v>0</v>
      </c>
      <c r="M43" s="104">
        <f t="shared" si="4"/>
        <v>0</v>
      </c>
      <c r="N43" s="105">
        <f t="shared" si="5"/>
        <v>0</v>
      </c>
      <c r="O43" s="32">
        <f t="shared" si="6"/>
        <v>0</v>
      </c>
      <c r="P43" s="98"/>
      <c r="Q43" s="98"/>
    </row>
    <row r="44" spans="1:17" s="46" customFormat="1" ht="15.6" x14ac:dyDescent="0.3">
      <c r="A44" s="55">
        <f t="shared" si="3"/>
        <v>99</v>
      </c>
      <c r="B44" s="215">
        <v>249675</v>
      </c>
      <c r="C44" s="159" t="s">
        <v>352</v>
      </c>
      <c r="D44" s="136">
        <v>8</v>
      </c>
      <c r="E44" s="137" t="s">
        <v>117</v>
      </c>
      <c r="F44" s="254">
        <f>D44*10</f>
        <v>80</v>
      </c>
      <c r="G44" s="137" t="s">
        <v>112</v>
      </c>
      <c r="H44" s="56"/>
      <c r="I44" s="56"/>
      <c r="J44" s="56"/>
      <c r="K44" s="106">
        <v>0</v>
      </c>
      <c r="L44" s="31">
        <v>0</v>
      </c>
      <c r="M44" s="104">
        <f t="shared" si="4"/>
        <v>0</v>
      </c>
      <c r="N44" s="105">
        <f t="shared" si="5"/>
        <v>0</v>
      </c>
      <c r="O44" s="32">
        <f t="shared" si="6"/>
        <v>0</v>
      </c>
      <c r="P44" s="98"/>
      <c r="Q44" s="98"/>
    </row>
    <row r="45" spans="1:17" s="46" customFormat="1" ht="15.6" x14ac:dyDescent="0.3">
      <c r="A45" s="55">
        <f t="shared" si="3"/>
        <v>100</v>
      </c>
      <c r="B45" s="215">
        <v>306756</v>
      </c>
      <c r="C45" s="159" t="s">
        <v>353</v>
      </c>
      <c r="D45" s="136">
        <v>11</v>
      </c>
      <c r="E45" s="137" t="s">
        <v>109</v>
      </c>
      <c r="F45" s="254">
        <f>D45*10</f>
        <v>110</v>
      </c>
      <c r="G45" s="137" t="s">
        <v>112</v>
      </c>
      <c r="H45" s="56"/>
      <c r="I45" s="56"/>
      <c r="J45" s="56"/>
      <c r="K45" s="106">
        <v>0</v>
      </c>
      <c r="L45" s="31">
        <v>0</v>
      </c>
      <c r="M45" s="104">
        <f t="shared" si="4"/>
        <v>0</v>
      </c>
      <c r="N45" s="105">
        <f t="shared" si="5"/>
        <v>0</v>
      </c>
      <c r="O45" s="32">
        <f t="shared" si="6"/>
        <v>0</v>
      </c>
      <c r="P45" s="98"/>
      <c r="Q45" s="98"/>
    </row>
    <row r="46" spans="1:17" s="46" customFormat="1" ht="15.6" x14ac:dyDescent="0.3">
      <c r="A46" s="55">
        <f t="shared" si="3"/>
        <v>101</v>
      </c>
      <c r="B46" s="293">
        <v>70299</v>
      </c>
      <c r="C46" s="160" t="s">
        <v>354</v>
      </c>
      <c r="D46" s="136">
        <v>2</v>
      </c>
      <c r="E46" s="137" t="s">
        <v>109</v>
      </c>
      <c r="F46" s="254">
        <f>D46*3*5</f>
        <v>30</v>
      </c>
      <c r="G46" s="137" t="s">
        <v>240</v>
      </c>
      <c r="H46" s="56"/>
      <c r="I46" s="56"/>
      <c r="J46" s="56"/>
      <c r="K46" s="106">
        <v>0</v>
      </c>
      <c r="L46" s="31">
        <v>0</v>
      </c>
      <c r="M46" s="104">
        <f t="shared" si="4"/>
        <v>0</v>
      </c>
      <c r="N46" s="105">
        <f t="shared" si="5"/>
        <v>0</v>
      </c>
      <c r="O46" s="32">
        <f t="shared" si="6"/>
        <v>0</v>
      </c>
      <c r="P46" s="98"/>
      <c r="Q46" s="98"/>
    </row>
    <row r="47" spans="1:17" s="46" customFormat="1" ht="15.6" x14ac:dyDescent="0.3">
      <c r="A47" s="55">
        <f t="shared" si="3"/>
        <v>102</v>
      </c>
      <c r="B47" s="215">
        <v>296999</v>
      </c>
      <c r="C47" s="159" t="s">
        <v>355</v>
      </c>
      <c r="D47" s="136">
        <v>10</v>
      </c>
      <c r="E47" s="137" t="s">
        <v>112</v>
      </c>
      <c r="F47" s="254">
        <f>D47*5</f>
        <v>50</v>
      </c>
      <c r="G47" s="137" t="s">
        <v>225</v>
      </c>
      <c r="H47" s="56"/>
      <c r="I47" s="56"/>
      <c r="J47" s="56"/>
      <c r="K47" s="106">
        <v>0</v>
      </c>
      <c r="L47" s="31">
        <v>0</v>
      </c>
      <c r="M47" s="104">
        <f t="shared" si="4"/>
        <v>0</v>
      </c>
      <c r="N47" s="105">
        <f t="shared" si="5"/>
        <v>0</v>
      </c>
      <c r="O47" s="32">
        <f t="shared" si="6"/>
        <v>0</v>
      </c>
      <c r="P47" s="98"/>
      <c r="Q47" s="98"/>
    </row>
    <row r="48" spans="1:17" ht="15.6" x14ac:dyDescent="0.3">
      <c r="A48" s="55">
        <f t="shared" si="3"/>
        <v>103</v>
      </c>
      <c r="B48" s="293">
        <v>292623</v>
      </c>
      <c r="C48" s="287" t="s">
        <v>356</v>
      </c>
      <c r="D48" s="136">
        <v>24</v>
      </c>
      <c r="E48" s="137" t="s">
        <v>112</v>
      </c>
      <c r="F48" s="254">
        <v>24</v>
      </c>
      <c r="G48" s="137" t="s">
        <v>222</v>
      </c>
      <c r="H48" s="56"/>
      <c r="I48" s="56"/>
      <c r="J48" s="56"/>
      <c r="K48" s="106">
        <v>0</v>
      </c>
      <c r="L48" s="31">
        <v>0</v>
      </c>
      <c r="M48" s="104">
        <f t="shared" si="4"/>
        <v>0</v>
      </c>
      <c r="N48" s="105">
        <f t="shared" si="5"/>
        <v>0</v>
      </c>
      <c r="O48" s="32">
        <f t="shared" si="6"/>
        <v>0</v>
      </c>
      <c r="P48" s="98"/>
      <c r="Q48" s="98"/>
    </row>
    <row r="49" spans="1:17" s="46" customFormat="1" ht="15.6" x14ac:dyDescent="0.3">
      <c r="A49" s="55">
        <f t="shared" si="3"/>
        <v>104</v>
      </c>
      <c r="B49" s="293">
        <v>292609</v>
      </c>
      <c r="C49" s="160" t="s">
        <v>357</v>
      </c>
      <c r="D49" s="136">
        <v>10</v>
      </c>
      <c r="E49" s="137" t="s">
        <v>112</v>
      </c>
      <c r="F49" s="254">
        <f>D49*5</f>
        <v>50</v>
      </c>
      <c r="G49" s="137" t="s">
        <v>240</v>
      </c>
      <c r="H49" s="56"/>
      <c r="I49" s="56"/>
      <c r="J49" s="56"/>
      <c r="K49" s="106">
        <v>0</v>
      </c>
      <c r="L49" s="31">
        <v>0</v>
      </c>
      <c r="M49" s="104">
        <f t="shared" si="4"/>
        <v>0</v>
      </c>
      <c r="N49" s="105">
        <f t="shared" si="5"/>
        <v>0</v>
      </c>
      <c r="O49" s="32">
        <f t="shared" si="6"/>
        <v>0</v>
      </c>
      <c r="P49" s="98"/>
      <c r="Q49" s="98"/>
    </row>
    <row r="50" spans="1:17" s="46" customFormat="1" ht="15.6" x14ac:dyDescent="0.3">
      <c r="A50" s="55">
        <f t="shared" si="3"/>
        <v>105</v>
      </c>
      <c r="B50" s="193">
        <v>311475</v>
      </c>
      <c r="C50" s="291" t="s">
        <v>241</v>
      </c>
      <c r="D50" s="221">
        <v>5</v>
      </c>
      <c r="E50" s="221" t="s">
        <v>162</v>
      </c>
      <c r="F50" s="254">
        <f>D50*2*5</f>
        <v>50</v>
      </c>
      <c r="G50" s="221" t="s">
        <v>225</v>
      </c>
      <c r="H50" s="98"/>
      <c r="I50" s="98"/>
      <c r="J50" s="98"/>
      <c r="K50" s="106">
        <v>0</v>
      </c>
      <c r="L50" s="31">
        <v>0</v>
      </c>
      <c r="M50" s="104">
        <f t="shared" si="4"/>
        <v>0</v>
      </c>
      <c r="N50" s="105">
        <f t="shared" si="5"/>
        <v>0</v>
      </c>
      <c r="O50" s="32">
        <f t="shared" si="6"/>
        <v>0</v>
      </c>
      <c r="P50" s="98"/>
      <c r="Q50" s="98"/>
    </row>
    <row r="51" spans="1:17" ht="15.6" x14ac:dyDescent="0.3">
      <c r="A51" s="185"/>
      <c r="B51" s="186"/>
      <c r="C51" s="186"/>
      <c r="D51" s="187"/>
      <c r="E51" s="187"/>
      <c r="F51" s="187"/>
      <c r="G51" s="187"/>
      <c r="H51" s="186"/>
      <c r="I51" s="186"/>
      <c r="J51" s="186"/>
      <c r="K51" s="191">
        <f>SUM(K3:K50)</f>
        <v>0</v>
      </c>
      <c r="L51" s="191"/>
      <c r="M51" s="191">
        <f>SUM(M2:M50)</f>
        <v>0</v>
      </c>
      <c r="N51" s="191">
        <f t="shared" ref="N51:O51" si="7">SUM(N2:N50)</f>
        <v>0</v>
      </c>
      <c r="O51" s="191">
        <f t="shared" si="7"/>
        <v>0</v>
      </c>
      <c r="P51" s="191"/>
      <c r="Q51" s="191"/>
    </row>
    <row r="52" spans="1:17" ht="15.6" x14ac:dyDescent="0.3">
      <c r="L52" s="118" t="s">
        <v>79</v>
      </c>
      <c r="M52" s="35">
        <f>IF(K51=0,0,M51/K51-1)</f>
        <v>0</v>
      </c>
      <c r="N52" s="46"/>
      <c r="O52" s="46"/>
    </row>
  </sheetData>
  <sheetProtection algorithmName="SHA-512" hashValue="6u0fQsvcqgWLJucNOX4jvWq0BQOQDbytdbJJh2Z1ePC1ns1ZRIIq/3CamaRKbRsBk6gUC5U1y3aI2fOtnsYvVQ==" saltValue="NyVTn3AH4EDts7OcR+dvXQ==" spinCount="100000" sheet="1" objects="1" scenarios="1"/>
  <autoFilter ref="A1:G52" xr:uid="{00000000-0001-0000-0300-000000000000}"/>
  <sortState xmlns:xlrd2="http://schemas.microsoft.com/office/spreadsheetml/2017/richdata2" ref="A2:Q52">
    <sortCondition ref="C1:C52"/>
  </sortState>
  <phoneticPr fontId="49" type="noConversion"/>
  <conditionalFormatting sqref="C1:C2">
    <cfRule type="duplicateValues" dxfId="2" priority="1"/>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10">
    <pageSetUpPr fitToPage="1"/>
  </sheetPr>
  <dimension ref="A1:BL69"/>
  <sheetViews>
    <sheetView topLeftCell="E1" workbookViewId="0">
      <pane ySplit="1" topLeftCell="A2" activePane="bottomLeft" state="frozen"/>
      <selection pane="bottomLeft" activeCell="M17" sqref="M17"/>
    </sheetView>
  </sheetViews>
  <sheetFormatPr baseColWidth="10" defaultColWidth="15.88671875" defaultRowHeight="13.8" x14ac:dyDescent="0.25"/>
  <cols>
    <col min="1" max="1" width="6.5546875" style="66" customWidth="1"/>
    <col min="2" max="2" width="15.109375" style="66" customWidth="1"/>
    <col min="3" max="3" width="55.33203125" style="64" customWidth="1"/>
    <col min="4" max="4" width="10.88671875" style="64" customWidth="1"/>
    <col min="5" max="7" width="9" style="47" customWidth="1"/>
    <col min="8" max="8" width="18.44140625" style="64" customWidth="1"/>
    <col min="9" max="9" width="40" style="64" customWidth="1"/>
    <col min="10" max="10" width="14" style="64" customWidth="1"/>
    <col min="11" max="11" width="15.88671875" style="64"/>
    <col min="12" max="12" width="12" style="64" customWidth="1"/>
    <col min="13" max="13" width="15.88671875" style="64"/>
    <col min="14" max="14" width="17.109375" style="64" customWidth="1"/>
    <col min="15" max="15" width="16.88671875" style="64" customWidth="1"/>
    <col min="16" max="16384" width="15.88671875" style="64"/>
  </cols>
  <sheetData>
    <row r="1" spans="1:64" ht="109.2" customHeight="1" x14ac:dyDescent="0.25">
      <c r="A1" s="92" t="s">
        <v>89</v>
      </c>
      <c r="B1" s="129" t="s">
        <v>87</v>
      </c>
      <c r="C1" s="67" t="s">
        <v>55</v>
      </c>
      <c r="D1" s="74" t="s">
        <v>78</v>
      </c>
      <c r="E1" s="78" t="s">
        <v>44</v>
      </c>
      <c r="F1" s="48" t="s">
        <v>207</v>
      </c>
      <c r="G1" s="48" t="s">
        <v>221</v>
      </c>
      <c r="H1" s="323" t="s">
        <v>56</v>
      </c>
      <c r="I1" s="323" t="s">
        <v>5</v>
      </c>
      <c r="J1" s="314" t="s">
        <v>249</v>
      </c>
      <c r="K1" s="315" t="s">
        <v>250</v>
      </c>
      <c r="L1" s="316" t="s">
        <v>70</v>
      </c>
      <c r="M1" s="86" t="s">
        <v>71</v>
      </c>
      <c r="N1" s="86" t="s">
        <v>45</v>
      </c>
      <c r="O1" s="86" t="s">
        <v>3</v>
      </c>
      <c r="P1" s="135" t="s">
        <v>90</v>
      </c>
      <c r="Q1" s="143" t="s">
        <v>92</v>
      </c>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row>
    <row r="2" spans="1:64" ht="15.6" x14ac:dyDescent="0.3">
      <c r="A2" s="68">
        <f>Renholdsmidler!A50+1</f>
        <v>106</v>
      </c>
      <c r="B2" s="232">
        <v>323447</v>
      </c>
      <c r="C2" s="233" t="s">
        <v>235</v>
      </c>
      <c r="D2" s="234">
        <v>70</v>
      </c>
      <c r="E2" s="234" t="s">
        <v>110</v>
      </c>
      <c r="F2" s="234">
        <f>D2*10</f>
        <v>700</v>
      </c>
      <c r="G2" s="234" t="s">
        <v>112</v>
      </c>
      <c r="H2" s="56"/>
      <c r="I2" s="56"/>
      <c r="J2" s="56"/>
      <c r="K2" s="59">
        <v>0</v>
      </c>
      <c r="L2" s="60">
        <v>0</v>
      </c>
      <c r="M2" s="61">
        <f>K2+K2*L2</f>
        <v>0</v>
      </c>
      <c r="N2" s="45">
        <f>M2*J2</f>
        <v>0</v>
      </c>
      <c r="O2" s="62">
        <f>M2*F2</f>
        <v>0</v>
      </c>
      <c r="P2" s="65"/>
      <c r="Q2" s="98"/>
    </row>
    <row r="3" spans="1:64" ht="15.6" x14ac:dyDescent="0.3">
      <c r="A3" s="68">
        <f>A2+1</f>
        <v>107</v>
      </c>
      <c r="B3" s="232">
        <v>304630</v>
      </c>
      <c r="C3" s="233" t="s">
        <v>233</v>
      </c>
      <c r="D3" s="234">
        <v>20</v>
      </c>
      <c r="E3" s="234" t="s">
        <v>110</v>
      </c>
      <c r="F3" s="234">
        <f>D3*40</f>
        <v>800</v>
      </c>
      <c r="G3" s="234" t="s">
        <v>112</v>
      </c>
      <c r="H3" s="56"/>
      <c r="I3" s="56"/>
      <c r="J3" s="56"/>
      <c r="K3" s="59">
        <v>0</v>
      </c>
      <c r="L3" s="60">
        <v>0</v>
      </c>
      <c r="M3" s="61">
        <f t="shared" ref="M3:M16" si="0">K3+K3*L3</f>
        <v>0</v>
      </c>
      <c r="N3" s="45">
        <f t="shared" ref="N3:N9" si="1">M3*J3</f>
        <v>0</v>
      </c>
      <c r="O3" s="62">
        <f t="shared" ref="O3:O9" si="2">M3*F3</f>
        <v>0</v>
      </c>
      <c r="P3" s="65"/>
      <c r="Q3" s="98"/>
    </row>
    <row r="4" spans="1:64" ht="15.6" x14ac:dyDescent="0.3">
      <c r="A4" s="68">
        <f>A3+1</f>
        <v>108</v>
      </c>
      <c r="B4" s="235">
        <v>4665</v>
      </c>
      <c r="C4" s="160" t="s">
        <v>275</v>
      </c>
      <c r="D4" s="234">
        <v>13</v>
      </c>
      <c r="E4" s="234" t="s">
        <v>109</v>
      </c>
      <c r="F4" s="234">
        <f>D4*10*100</f>
        <v>13000</v>
      </c>
      <c r="G4" s="234" t="s">
        <v>112</v>
      </c>
      <c r="H4" s="56"/>
      <c r="I4" s="56"/>
      <c r="J4" s="56"/>
      <c r="K4" s="59">
        <v>0</v>
      </c>
      <c r="L4" s="60">
        <v>0</v>
      </c>
      <c r="M4" s="61">
        <f t="shared" si="0"/>
        <v>0</v>
      </c>
      <c r="N4" s="45">
        <f t="shared" si="1"/>
        <v>0</v>
      </c>
      <c r="O4" s="62">
        <f t="shared" si="2"/>
        <v>0</v>
      </c>
      <c r="P4" s="65"/>
      <c r="Q4" s="98"/>
    </row>
    <row r="5" spans="1:64" ht="15.6" x14ac:dyDescent="0.3">
      <c r="A5" s="68">
        <f t="shared" ref="A5:A16" si="3">A4+1</f>
        <v>109</v>
      </c>
      <c r="B5" s="232">
        <v>304721</v>
      </c>
      <c r="C5" s="233" t="s">
        <v>234</v>
      </c>
      <c r="D5" s="234">
        <v>45</v>
      </c>
      <c r="E5" s="234" t="s">
        <v>109</v>
      </c>
      <c r="F5" s="234">
        <f>D5*16*20</f>
        <v>14400</v>
      </c>
      <c r="G5" s="234" t="s">
        <v>112</v>
      </c>
      <c r="H5" s="56"/>
      <c r="I5" s="56"/>
      <c r="J5" s="56"/>
      <c r="K5" s="59">
        <v>0</v>
      </c>
      <c r="L5" s="60">
        <v>0</v>
      </c>
      <c r="M5" s="61">
        <f t="shared" si="0"/>
        <v>0</v>
      </c>
      <c r="N5" s="45">
        <f t="shared" si="1"/>
        <v>0</v>
      </c>
      <c r="O5" s="62">
        <f t="shared" si="2"/>
        <v>0</v>
      </c>
      <c r="P5" s="65"/>
      <c r="Q5" s="98"/>
    </row>
    <row r="6" spans="1:64" ht="15.6" x14ac:dyDescent="0.3">
      <c r="A6" s="68">
        <f t="shared" si="3"/>
        <v>110</v>
      </c>
      <c r="B6" s="235">
        <v>4626</v>
      </c>
      <c r="C6" s="236" t="s">
        <v>232</v>
      </c>
      <c r="D6" s="234">
        <v>147</v>
      </c>
      <c r="E6" s="234" t="s">
        <v>109</v>
      </c>
      <c r="F6" s="234">
        <f>D6*20*50</f>
        <v>147000</v>
      </c>
      <c r="G6" s="234" t="s">
        <v>112</v>
      </c>
      <c r="H6" s="56"/>
      <c r="I6" s="56"/>
      <c r="J6" s="56"/>
      <c r="K6" s="59">
        <v>0</v>
      </c>
      <c r="L6" s="60">
        <v>0</v>
      </c>
      <c r="M6" s="61">
        <f t="shared" si="0"/>
        <v>0</v>
      </c>
      <c r="N6" s="45">
        <f t="shared" si="1"/>
        <v>0</v>
      </c>
      <c r="O6" s="62">
        <f t="shared" si="2"/>
        <v>0</v>
      </c>
      <c r="P6" s="65"/>
      <c r="Q6" s="98"/>
    </row>
    <row r="7" spans="1:64" ht="15.6" x14ac:dyDescent="0.3">
      <c r="A7" s="68">
        <f t="shared" si="3"/>
        <v>111</v>
      </c>
      <c r="B7" s="232">
        <v>4625</v>
      </c>
      <c r="C7" s="233" t="s">
        <v>231</v>
      </c>
      <c r="D7" s="234">
        <v>19</v>
      </c>
      <c r="E7" s="234" t="s">
        <v>109</v>
      </c>
      <c r="F7" s="234">
        <f>D7*20*25</f>
        <v>9500</v>
      </c>
      <c r="G7" s="234" t="s">
        <v>112</v>
      </c>
      <c r="H7" s="56"/>
      <c r="I7" s="56"/>
      <c r="J7" s="56"/>
      <c r="K7" s="59">
        <v>0</v>
      </c>
      <c r="L7" s="60">
        <v>0</v>
      </c>
      <c r="M7" s="61">
        <f t="shared" si="0"/>
        <v>0</v>
      </c>
      <c r="N7" s="45">
        <f t="shared" si="1"/>
        <v>0</v>
      </c>
      <c r="O7" s="62">
        <f t="shared" si="2"/>
        <v>0</v>
      </c>
      <c r="P7" s="65"/>
      <c r="Q7" s="98"/>
    </row>
    <row r="8" spans="1:64" ht="15.6" x14ac:dyDescent="0.3">
      <c r="A8" s="68">
        <f t="shared" si="3"/>
        <v>112</v>
      </c>
      <c r="B8" s="235">
        <v>45406</v>
      </c>
      <c r="C8" s="236" t="s">
        <v>170</v>
      </c>
      <c r="D8" s="234">
        <v>18</v>
      </c>
      <c r="E8" s="234" t="s">
        <v>109</v>
      </c>
      <c r="F8" s="234">
        <f>D8*20*50</f>
        <v>18000</v>
      </c>
      <c r="G8" s="234" t="s">
        <v>112</v>
      </c>
      <c r="H8" s="56"/>
      <c r="I8" s="56"/>
      <c r="J8" s="56"/>
      <c r="K8" s="59">
        <v>0</v>
      </c>
      <c r="L8" s="60">
        <v>0</v>
      </c>
      <c r="M8" s="61">
        <f t="shared" si="0"/>
        <v>0</v>
      </c>
      <c r="N8" s="45">
        <f t="shared" si="1"/>
        <v>0</v>
      </c>
      <c r="O8" s="62">
        <f t="shared" si="2"/>
        <v>0</v>
      </c>
      <c r="P8" s="65"/>
      <c r="Q8" s="98"/>
    </row>
    <row r="9" spans="1:64" ht="15.6" x14ac:dyDescent="0.3">
      <c r="A9" s="68">
        <f t="shared" si="3"/>
        <v>113</v>
      </c>
      <c r="B9" s="235">
        <v>4900</v>
      </c>
      <c r="C9" s="159" t="s">
        <v>276</v>
      </c>
      <c r="D9" s="234">
        <v>57</v>
      </c>
      <c r="E9" s="234" t="s">
        <v>109</v>
      </c>
      <c r="F9" s="234">
        <f>D9*15*10</f>
        <v>8550</v>
      </c>
      <c r="G9" s="234" t="s">
        <v>112</v>
      </c>
      <c r="H9" s="56"/>
      <c r="I9" s="56"/>
      <c r="J9" s="56"/>
      <c r="K9" s="59">
        <v>0</v>
      </c>
      <c r="L9" s="60">
        <v>0</v>
      </c>
      <c r="M9" s="61">
        <f t="shared" si="0"/>
        <v>0</v>
      </c>
      <c r="N9" s="45">
        <f t="shared" si="1"/>
        <v>0</v>
      </c>
      <c r="O9" s="62">
        <f t="shared" si="2"/>
        <v>0</v>
      </c>
      <c r="P9" s="65"/>
      <c r="Q9" s="98"/>
    </row>
    <row r="10" spans="1:64" ht="15.6" x14ac:dyDescent="0.3">
      <c r="A10" s="68">
        <f t="shared" si="3"/>
        <v>114</v>
      </c>
      <c r="B10" s="232">
        <v>346449</v>
      </c>
      <c r="C10" s="233" t="s">
        <v>237</v>
      </c>
      <c r="D10" s="305">
        <v>25</v>
      </c>
      <c r="E10" s="234" t="s">
        <v>109</v>
      </c>
      <c r="F10" s="234">
        <f>D10*20*10</f>
        <v>5000</v>
      </c>
      <c r="G10" s="234" t="s">
        <v>222</v>
      </c>
      <c r="H10" s="56"/>
      <c r="I10" s="56"/>
      <c r="J10" s="56"/>
      <c r="K10" s="59">
        <v>0</v>
      </c>
      <c r="L10" s="60">
        <v>0</v>
      </c>
      <c r="M10" s="61">
        <f t="shared" si="0"/>
        <v>0</v>
      </c>
      <c r="N10" s="45">
        <f t="shared" ref="N10:N16" si="4">M10*J10</f>
        <v>0</v>
      </c>
      <c r="O10" s="62">
        <f t="shared" ref="O10:O16" si="5">M10*F10</f>
        <v>0</v>
      </c>
      <c r="P10" s="65"/>
      <c r="Q10" s="98"/>
    </row>
    <row r="11" spans="1:64" ht="15.6" x14ac:dyDescent="0.3">
      <c r="A11" s="68">
        <f t="shared" si="3"/>
        <v>115</v>
      </c>
      <c r="B11" s="235">
        <v>342329</v>
      </c>
      <c r="C11" s="236" t="s">
        <v>236</v>
      </c>
      <c r="D11" s="306">
        <v>5</v>
      </c>
      <c r="E11" s="234" t="s">
        <v>109</v>
      </c>
      <c r="F11" s="234">
        <f>D11*15*10</f>
        <v>750</v>
      </c>
      <c r="G11" s="234" t="s">
        <v>112</v>
      </c>
      <c r="H11" s="56"/>
      <c r="I11" s="56"/>
      <c r="J11" s="56"/>
      <c r="K11" s="59">
        <v>0</v>
      </c>
      <c r="L11" s="60">
        <v>0</v>
      </c>
      <c r="M11" s="61">
        <f t="shared" si="0"/>
        <v>0</v>
      </c>
      <c r="N11" s="45">
        <f t="shared" si="4"/>
        <v>0</v>
      </c>
      <c r="O11" s="62">
        <f t="shared" si="5"/>
        <v>0</v>
      </c>
      <c r="P11" s="65"/>
      <c r="Q11" s="98"/>
    </row>
    <row r="12" spans="1:64" ht="15.6" x14ac:dyDescent="0.3">
      <c r="A12" s="68">
        <f t="shared" si="3"/>
        <v>116</v>
      </c>
      <c r="B12" s="232">
        <v>38148</v>
      </c>
      <c r="C12" s="233" t="s">
        <v>113</v>
      </c>
      <c r="D12" s="234">
        <v>4</v>
      </c>
      <c r="E12" s="234" t="s">
        <v>112</v>
      </c>
      <c r="F12" s="234">
        <v>4</v>
      </c>
      <c r="G12" s="234" t="s">
        <v>112</v>
      </c>
      <c r="H12" s="56"/>
      <c r="I12" s="56"/>
      <c r="J12" s="56"/>
      <c r="K12" s="59">
        <v>0</v>
      </c>
      <c r="L12" s="60">
        <v>0</v>
      </c>
      <c r="M12" s="61">
        <f t="shared" si="0"/>
        <v>0</v>
      </c>
      <c r="N12" s="45">
        <f t="shared" si="4"/>
        <v>0</v>
      </c>
      <c r="O12" s="62">
        <f t="shared" si="5"/>
        <v>0</v>
      </c>
      <c r="P12" s="65"/>
      <c r="Q12" s="98"/>
    </row>
    <row r="13" spans="1:64" ht="15.6" x14ac:dyDescent="0.3">
      <c r="A13" s="68">
        <f t="shared" si="3"/>
        <v>117</v>
      </c>
      <c r="B13" s="303">
        <v>278252</v>
      </c>
      <c r="C13" s="304" t="s">
        <v>238</v>
      </c>
      <c r="D13" s="237">
        <v>6</v>
      </c>
      <c r="E13" s="237" t="s">
        <v>109</v>
      </c>
      <c r="F13" s="237">
        <f>D13*18*20</f>
        <v>2160</v>
      </c>
      <c r="G13" s="237" t="s">
        <v>112</v>
      </c>
      <c r="H13" s="56"/>
      <c r="I13" s="56"/>
      <c r="J13" s="56"/>
      <c r="K13" s="59">
        <v>0</v>
      </c>
      <c r="L13" s="60">
        <v>0</v>
      </c>
      <c r="M13" s="61">
        <f t="shared" si="0"/>
        <v>0</v>
      </c>
      <c r="N13" s="45">
        <f t="shared" si="4"/>
        <v>0</v>
      </c>
      <c r="O13" s="62">
        <f t="shared" si="5"/>
        <v>0</v>
      </c>
      <c r="P13" s="65"/>
      <c r="Q13" s="98"/>
    </row>
    <row r="14" spans="1:64" ht="15.6" x14ac:dyDescent="0.3">
      <c r="A14" s="68">
        <f t="shared" si="3"/>
        <v>118</v>
      </c>
      <c r="B14" s="240">
        <v>81574</v>
      </c>
      <c r="C14" s="241" t="s">
        <v>138</v>
      </c>
      <c r="D14" s="234">
        <v>25</v>
      </c>
      <c r="E14" s="234" t="s">
        <v>112</v>
      </c>
      <c r="F14" s="234">
        <v>25</v>
      </c>
      <c r="G14" s="234" t="s">
        <v>222</v>
      </c>
      <c r="H14" s="56"/>
      <c r="I14" s="56"/>
      <c r="J14" s="56"/>
      <c r="K14" s="59">
        <v>0</v>
      </c>
      <c r="L14" s="60">
        <v>0</v>
      </c>
      <c r="M14" s="61">
        <f t="shared" si="0"/>
        <v>0</v>
      </c>
      <c r="N14" s="45">
        <f t="shared" si="4"/>
        <v>0</v>
      </c>
      <c r="O14" s="62">
        <f t="shared" si="5"/>
        <v>0</v>
      </c>
      <c r="P14" s="65"/>
      <c r="Q14" s="98"/>
    </row>
    <row r="15" spans="1:64" ht="15.6" x14ac:dyDescent="0.3">
      <c r="A15" s="68">
        <f t="shared" si="3"/>
        <v>119</v>
      </c>
      <c r="B15" s="238">
        <v>81575</v>
      </c>
      <c r="C15" s="239" t="s">
        <v>139</v>
      </c>
      <c r="D15" s="234">
        <v>30</v>
      </c>
      <c r="E15" s="234" t="s">
        <v>112</v>
      </c>
      <c r="F15" s="234">
        <v>30</v>
      </c>
      <c r="G15" s="234" t="s">
        <v>112</v>
      </c>
      <c r="H15" s="56"/>
      <c r="I15" s="56"/>
      <c r="J15" s="56"/>
      <c r="K15" s="59">
        <v>0</v>
      </c>
      <c r="L15" s="60">
        <v>0</v>
      </c>
      <c r="M15" s="61">
        <f t="shared" si="0"/>
        <v>0</v>
      </c>
      <c r="N15" s="45">
        <f t="shared" si="4"/>
        <v>0</v>
      </c>
      <c r="O15" s="62">
        <f t="shared" si="5"/>
        <v>0</v>
      </c>
      <c r="P15" s="65"/>
      <c r="Q15" s="98"/>
    </row>
    <row r="16" spans="1:64" ht="15.6" x14ac:dyDescent="0.3">
      <c r="A16" s="68">
        <f t="shared" si="3"/>
        <v>120</v>
      </c>
      <c r="B16" s="242">
        <v>181368</v>
      </c>
      <c r="C16" s="307" t="s">
        <v>158</v>
      </c>
      <c r="D16" s="243">
        <v>5</v>
      </c>
      <c r="E16" s="243" t="s">
        <v>112</v>
      </c>
      <c r="F16" s="243">
        <v>5</v>
      </c>
      <c r="G16" s="243" t="s">
        <v>222</v>
      </c>
      <c r="H16" s="56"/>
      <c r="I16" s="56"/>
      <c r="J16" s="56"/>
      <c r="K16" s="59">
        <v>0</v>
      </c>
      <c r="L16" s="60">
        <v>0</v>
      </c>
      <c r="M16" s="61">
        <f t="shared" si="0"/>
        <v>0</v>
      </c>
      <c r="N16" s="45">
        <f t="shared" si="4"/>
        <v>0</v>
      </c>
      <c r="O16" s="62">
        <f t="shared" si="5"/>
        <v>0</v>
      </c>
      <c r="P16" s="65"/>
      <c r="Q16" s="98"/>
    </row>
    <row r="17" spans="1:17" ht="15" x14ac:dyDescent="0.25">
      <c r="A17" s="182"/>
      <c r="B17" s="182"/>
      <c r="C17" s="182"/>
      <c r="D17" s="182"/>
      <c r="E17" s="182"/>
      <c r="F17" s="182"/>
      <c r="G17" s="182"/>
      <c r="H17" s="182"/>
      <c r="I17" s="182"/>
      <c r="J17" s="182"/>
      <c r="K17" s="33">
        <f>SUM(K2:K16)</f>
        <v>0</v>
      </c>
      <c r="L17" s="34"/>
      <c r="M17" s="33">
        <f>SUM(M2:M16)</f>
        <v>0</v>
      </c>
      <c r="N17" s="202">
        <f>SUM(N2:N16)</f>
        <v>0</v>
      </c>
      <c r="O17" s="202">
        <f>SUM(O2:O16)</f>
        <v>0</v>
      </c>
      <c r="P17" s="69"/>
      <c r="Q17" s="69"/>
    </row>
    <row r="18" spans="1:17" ht="15" x14ac:dyDescent="0.25">
      <c r="A18" s="64"/>
      <c r="B18" s="64"/>
      <c r="K18" s="58"/>
      <c r="L18" s="118" t="s">
        <v>79</v>
      </c>
      <c r="M18" s="35">
        <f>IF(K17=0,0,M17/K17-1)</f>
        <v>0</v>
      </c>
      <c r="O18" s="117"/>
    </row>
    <row r="19" spans="1:17" x14ac:dyDescent="0.25">
      <c r="A19" s="64"/>
      <c r="B19" s="64"/>
    </row>
    <row r="20" spans="1:17" x14ac:dyDescent="0.25">
      <c r="A20" s="64"/>
      <c r="B20" s="64"/>
    </row>
    <row r="21" spans="1:17" x14ac:dyDescent="0.25">
      <c r="A21" s="64"/>
      <c r="B21" s="64"/>
    </row>
    <row r="22" spans="1:17" x14ac:dyDescent="0.25">
      <c r="A22" s="64"/>
      <c r="B22" s="64"/>
    </row>
    <row r="23" spans="1:17" x14ac:dyDescent="0.25">
      <c r="A23" s="64"/>
      <c r="B23" s="64"/>
    </row>
    <row r="24" spans="1:17" x14ac:dyDescent="0.25">
      <c r="A24" s="64"/>
      <c r="B24" s="64"/>
    </row>
    <row r="25" spans="1:17" x14ac:dyDescent="0.25">
      <c r="A25" s="64"/>
      <c r="B25" s="64"/>
    </row>
    <row r="26" spans="1:17" x14ac:dyDescent="0.25">
      <c r="A26" s="64"/>
      <c r="B26" s="64"/>
    </row>
    <row r="27" spans="1:17" x14ac:dyDescent="0.25">
      <c r="A27" s="64"/>
      <c r="B27" s="64"/>
    </row>
    <row r="28" spans="1:17" x14ac:dyDescent="0.25">
      <c r="A28" s="64"/>
      <c r="B28" s="64"/>
    </row>
    <row r="29" spans="1:17" x14ac:dyDescent="0.25">
      <c r="A29" s="64"/>
      <c r="B29" s="64"/>
    </row>
    <row r="30" spans="1:17" x14ac:dyDescent="0.25">
      <c r="A30" s="64"/>
      <c r="B30" s="64"/>
    </row>
    <row r="31" spans="1:17" x14ac:dyDescent="0.25">
      <c r="A31" s="64"/>
      <c r="B31" s="64"/>
    </row>
    <row r="32" spans="1:17" x14ac:dyDescent="0.25">
      <c r="A32" s="64"/>
      <c r="B32" s="64"/>
    </row>
    <row r="33" spans="1:2" x14ac:dyDescent="0.25">
      <c r="A33" s="64"/>
      <c r="B33" s="64"/>
    </row>
    <row r="34" spans="1:2" x14ac:dyDescent="0.25">
      <c r="A34" s="64"/>
      <c r="B34" s="64"/>
    </row>
    <row r="35" spans="1:2" x14ac:dyDescent="0.25">
      <c r="A35" s="64"/>
      <c r="B35" s="64"/>
    </row>
    <row r="36" spans="1:2" x14ac:dyDescent="0.25">
      <c r="A36" s="64"/>
      <c r="B36" s="64"/>
    </row>
    <row r="37" spans="1:2" x14ac:dyDescent="0.25">
      <c r="A37" s="64"/>
      <c r="B37" s="64"/>
    </row>
    <row r="38" spans="1:2" x14ac:dyDescent="0.25">
      <c r="A38" s="64"/>
      <c r="B38" s="64"/>
    </row>
    <row r="39" spans="1:2" x14ac:dyDescent="0.25">
      <c r="A39" s="64"/>
      <c r="B39" s="64"/>
    </row>
    <row r="40" spans="1:2" x14ac:dyDescent="0.25">
      <c r="A40" s="64"/>
      <c r="B40" s="64"/>
    </row>
    <row r="41" spans="1:2" x14ac:dyDescent="0.25">
      <c r="A41" s="64"/>
      <c r="B41" s="64"/>
    </row>
    <row r="42" spans="1:2" x14ac:dyDescent="0.25">
      <c r="A42" s="64"/>
      <c r="B42" s="64"/>
    </row>
    <row r="43" spans="1:2" x14ac:dyDescent="0.25">
      <c r="A43" s="64"/>
      <c r="B43" s="64"/>
    </row>
    <row r="44" spans="1:2" x14ac:dyDescent="0.25">
      <c r="A44" s="64"/>
      <c r="B44" s="64"/>
    </row>
    <row r="45" spans="1:2" x14ac:dyDescent="0.25">
      <c r="A45" s="64"/>
      <c r="B45" s="64"/>
    </row>
    <row r="46" spans="1:2" x14ac:dyDescent="0.25">
      <c r="A46" s="64"/>
      <c r="B46" s="64"/>
    </row>
    <row r="47" spans="1:2" x14ac:dyDescent="0.25">
      <c r="A47" s="64"/>
      <c r="B47" s="64"/>
    </row>
    <row r="48" spans="1:2" x14ac:dyDescent="0.25">
      <c r="A48" s="64"/>
      <c r="B48" s="64"/>
    </row>
    <row r="49" spans="1:2" x14ac:dyDescent="0.25">
      <c r="A49" s="64"/>
      <c r="B49" s="64"/>
    </row>
    <row r="50" spans="1:2" x14ac:dyDescent="0.25">
      <c r="A50" s="64"/>
      <c r="B50" s="64"/>
    </row>
    <row r="51" spans="1:2" x14ac:dyDescent="0.25">
      <c r="A51" s="64"/>
      <c r="B51" s="64"/>
    </row>
    <row r="52" spans="1:2" x14ac:dyDescent="0.25">
      <c r="A52" s="64"/>
      <c r="B52" s="64"/>
    </row>
    <row r="53" spans="1:2" x14ac:dyDescent="0.25">
      <c r="A53" s="64"/>
      <c r="B53" s="64"/>
    </row>
    <row r="54" spans="1:2" x14ac:dyDescent="0.25">
      <c r="A54" s="64"/>
      <c r="B54" s="64"/>
    </row>
    <row r="55" spans="1:2" x14ac:dyDescent="0.25">
      <c r="A55" s="64"/>
      <c r="B55" s="64"/>
    </row>
    <row r="56" spans="1:2" x14ac:dyDescent="0.25">
      <c r="A56" s="64"/>
      <c r="B56" s="64"/>
    </row>
    <row r="57" spans="1:2" x14ac:dyDescent="0.25">
      <c r="A57" s="64"/>
      <c r="B57" s="64"/>
    </row>
    <row r="58" spans="1:2" x14ac:dyDescent="0.25">
      <c r="A58" s="64"/>
      <c r="B58" s="64"/>
    </row>
    <row r="59" spans="1:2" x14ac:dyDescent="0.25">
      <c r="A59" s="64"/>
      <c r="B59" s="64"/>
    </row>
    <row r="60" spans="1:2" x14ac:dyDescent="0.25">
      <c r="A60" s="64"/>
      <c r="B60" s="64"/>
    </row>
    <row r="61" spans="1:2" x14ac:dyDescent="0.25">
      <c r="A61" s="64"/>
      <c r="B61" s="64"/>
    </row>
    <row r="62" spans="1:2" x14ac:dyDescent="0.25">
      <c r="A62" s="64"/>
      <c r="B62" s="64"/>
    </row>
    <row r="63" spans="1:2" x14ac:dyDescent="0.25">
      <c r="A63" s="64"/>
      <c r="B63" s="64"/>
    </row>
    <row r="64" spans="1:2" x14ac:dyDescent="0.25">
      <c r="A64" s="64"/>
      <c r="B64" s="64"/>
    </row>
    <row r="65" spans="1:2" x14ac:dyDescent="0.25">
      <c r="A65" s="64"/>
      <c r="B65" s="64"/>
    </row>
    <row r="66" spans="1:2" x14ac:dyDescent="0.25">
      <c r="A66" s="64"/>
      <c r="B66" s="64"/>
    </row>
    <row r="67" spans="1:2" x14ac:dyDescent="0.25">
      <c r="A67" s="64"/>
      <c r="B67" s="64"/>
    </row>
    <row r="68" spans="1:2" x14ac:dyDescent="0.25">
      <c r="A68" s="64"/>
      <c r="B68" s="64"/>
    </row>
    <row r="69" spans="1:2" x14ac:dyDescent="0.25">
      <c r="A69" s="64"/>
      <c r="B69" s="64"/>
    </row>
  </sheetData>
  <sheetProtection algorithmName="SHA-512" hashValue="O53PDaL2/vHSeBXjtxukUj3V3OdU/HggS612kIx/hQxNH7AcAEe81XpYSJ40gA1TzcIyvOtDPbsrn1gD/BBaNQ==" saltValue="Tj+XFvRnlC+TSZz5APgCBQ==" spinCount="100000" sheet="1" objects="1" scenarios="1"/>
  <sortState xmlns:xlrd2="http://schemas.microsoft.com/office/spreadsheetml/2017/richdata2" ref="A2:Q69">
    <sortCondition ref="C1:C69"/>
  </sortState>
  <conditionalFormatting sqref="C18:C1048576 B2:B12 C1:C16">
    <cfRule type="duplicateValues" dxfId="1" priority="22"/>
  </conditionalFormatting>
  <pageMargins left="0.7" right="0.7" top="0.75" bottom="0.75" header="0.3" footer="0.3"/>
  <pageSetup paperSize="9" scale="4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pageSetUpPr fitToPage="1"/>
  </sheetPr>
  <dimension ref="A1:Q88"/>
  <sheetViews>
    <sheetView zoomScaleNormal="100" workbookViewId="0">
      <pane ySplit="1" topLeftCell="A2" activePane="bottomLeft" state="frozen"/>
      <selection pane="bottomLeft" activeCell="I11" sqref="I11"/>
    </sheetView>
  </sheetViews>
  <sheetFormatPr baseColWidth="10" defaultColWidth="11.44140625" defaultRowHeight="13.8" x14ac:dyDescent="0.25"/>
  <cols>
    <col min="1" max="1" width="8.109375" style="66" customWidth="1"/>
    <col min="2" max="2" width="20.109375" style="66" customWidth="1"/>
    <col min="3" max="3" width="45.88671875" style="64" customWidth="1"/>
    <col min="4" max="4" width="12.44140625" style="64" customWidth="1"/>
    <col min="5" max="5" width="10.109375" style="64" bestFit="1" customWidth="1"/>
    <col min="6" max="7" width="5.33203125" style="64" customWidth="1"/>
    <col min="8" max="8" width="15.88671875" style="64" customWidth="1"/>
    <col min="9" max="9" width="39.33203125" style="64" customWidth="1"/>
    <col min="10" max="10" width="13.5546875" style="64" customWidth="1"/>
    <col min="11" max="11" width="15.5546875" style="64" customWidth="1"/>
    <col min="12" max="12" width="12.33203125" style="64" customWidth="1"/>
    <col min="13" max="13" width="15.5546875" style="64" customWidth="1"/>
    <col min="14" max="14" width="16.88671875" style="64" customWidth="1"/>
    <col min="15" max="15" width="18.33203125" style="64" customWidth="1"/>
    <col min="16" max="16" width="14" style="64" customWidth="1"/>
    <col min="17" max="17" width="16" style="64" customWidth="1"/>
    <col min="18" max="16384" width="11.44140625" style="64"/>
  </cols>
  <sheetData>
    <row r="1" spans="1:17" ht="95.1" customHeight="1" x14ac:dyDescent="0.3">
      <c r="A1" s="74" t="s">
        <v>12</v>
      </c>
      <c r="B1" s="75" t="s">
        <v>84</v>
      </c>
      <c r="C1" s="100" t="s">
        <v>54</v>
      </c>
      <c r="D1" s="75" t="s">
        <v>50</v>
      </c>
      <c r="E1" s="48" t="s">
        <v>221</v>
      </c>
      <c r="F1" s="48" t="s">
        <v>251</v>
      </c>
      <c r="G1" s="48" t="s">
        <v>252</v>
      </c>
      <c r="H1" s="316" t="s">
        <v>51</v>
      </c>
      <c r="I1" s="316" t="s">
        <v>52</v>
      </c>
      <c r="J1" s="314" t="s">
        <v>249</v>
      </c>
      <c r="K1" s="316" t="s">
        <v>69</v>
      </c>
      <c r="L1" s="316" t="s">
        <v>68</v>
      </c>
      <c r="M1" s="76" t="s">
        <v>250</v>
      </c>
      <c r="N1" s="85" t="s">
        <v>45</v>
      </c>
      <c r="O1" s="85" t="s">
        <v>3</v>
      </c>
      <c r="P1" s="135" t="s">
        <v>90</v>
      </c>
      <c r="Q1" s="143" t="s">
        <v>92</v>
      </c>
    </row>
    <row r="2" spans="1:17" ht="15.6" x14ac:dyDescent="0.3">
      <c r="A2" s="68">
        <f>Avfallshåndtering!A16+1</f>
        <v>121</v>
      </c>
      <c r="B2" s="339">
        <v>47698</v>
      </c>
      <c r="C2" s="327" t="s">
        <v>159</v>
      </c>
      <c r="D2" s="152">
        <v>5</v>
      </c>
      <c r="E2" s="152" t="s">
        <v>112</v>
      </c>
      <c r="F2" s="152"/>
      <c r="G2" s="152"/>
      <c r="H2" s="357"/>
      <c r="I2" s="109"/>
      <c r="J2" s="110"/>
      <c r="K2" s="103">
        <v>0</v>
      </c>
      <c r="L2" s="71">
        <v>0</v>
      </c>
      <c r="M2" s="102">
        <f>K2+K2*L2</f>
        <v>0</v>
      </c>
      <c r="N2" s="102">
        <f>M2*J2</f>
        <v>0</v>
      </c>
      <c r="O2" s="73">
        <f>D2*M2</f>
        <v>0</v>
      </c>
      <c r="P2" s="65"/>
      <c r="Q2" s="98"/>
    </row>
    <row r="3" spans="1:17" ht="15.6" x14ac:dyDescent="0.3">
      <c r="A3" s="68">
        <f>A2+1</f>
        <v>122</v>
      </c>
      <c r="B3" s="156">
        <v>306889</v>
      </c>
      <c r="C3" s="287" t="s">
        <v>359</v>
      </c>
      <c r="D3" s="152">
        <v>7</v>
      </c>
      <c r="E3" s="152" t="s">
        <v>222</v>
      </c>
      <c r="F3" s="249"/>
      <c r="G3" s="249"/>
      <c r="H3" s="357"/>
      <c r="I3" s="65"/>
      <c r="J3" s="101"/>
      <c r="K3" s="103">
        <v>0</v>
      </c>
      <c r="L3" s="71">
        <v>0</v>
      </c>
      <c r="M3" s="102">
        <f>K3+K3*L3</f>
        <v>0</v>
      </c>
      <c r="N3" s="102">
        <f>M3*J3</f>
        <v>0</v>
      </c>
      <c r="O3" s="73">
        <f>D3*M3</f>
        <v>0</v>
      </c>
      <c r="P3" s="65"/>
      <c r="Q3" s="98"/>
    </row>
    <row r="4" spans="1:17" ht="15.6" x14ac:dyDescent="0.3">
      <c r="A4" s="68">
        <f>A3+1</f>
        <v>123</v>
      </c>
      <c r="B4" s="156"/>
      <c r="C4" s="150" t="s">
        <v>146</v>
      </c>
      <c r="D4" s="152">
        <v>5</v>
      </c>
      <c r="E4" s="152" t="s">
        <v>112</v>
      </c>
      <c r="F4" s="249"/>
      <c r="G4" s="249"/>
      <c r="H4" s="357"/>
      <c r="I4" s="65"/>
      <c r="J4" s="101"/>
      <c r="K4" s="103">
        <v>0</v>
      </c>
      <c r="L4" s="71">
        <v>0</v>
      </c>
      <c r="M4" s="102">
        <f>K4+K4*L4</f>
        <v>0</v>
      </c>
      <c r="N4" s="102">
        <f>M4*J4</f>
        <v>0</v>
      </c>
      <c r="O4" s="73">
        <f>D4*M4</f>
        <v>0</v>
      </c>
      <c r="P4" s="65"/>
      <c r="Q4" s="98"/>
    </row>
    <row r="5" spans="1:17" ht="15.6" x14ac:dyDescent="0.3">
      <c r="A5" s="68">
        <f>A4+1</f>
        <v>124</v>
      </c>
      <c r="B5" s="340">
        <v>190484</v>
      </c>
      <c r="C5" s="247" t="s">
        <v>358</v>
      </c>
      <c r="D5" s="188">
        <v>10</v>
      </c>
      <c r="E5" s="152" t="s">
        <v>112</v>
      </c>
      <c r="F5" s="255"/>
      <c r="G5" s="255"/>
      <c r="H5" s="357"/>
      <c r="I5" s="179"/>
      <c r="J5" s="205"/>
      <c r="K5" s="103">
        <v>0</v>
      </c>
      <c r="L5" s="71">
        <v>0</v>
      </c>
      <c r="M5" s="102">
        <f>K5+K5*L5</f>
        <v>0</v>
      </c>
      <c r="N5" s="102">
        <f>M5*J5</f>
        <v>0</v>
      </c>
      <c r="O5" s="73">
        <f>D5*M5</f>
        <v>0</v>
      </c>
      <c r="P5" s="65"/>
      <c r="Q5" s="98"/>
    </row>
    <row r="6" spans="1:17" ht="15.6" x14ac:dyDescent="0.3">
      <c r="A6" s="68">
        <f>A5+1</f>
        <v>125</v>
      </c>
      <c r="B6" s="203">
        <v>41778</v>
      </c>
      <c r="C6" s="204" t="s">
        <v>160</v>
      </c>
      <c r="D6" s="188">
        <v>5</v>
      </c>
      <c r="E6" s="152" t="s">
        <v>112</v>
      </c>
      <c r="F6" s="255"/>
      <c r="G6" s="255"/>
      <c r="H6" s="357"/>
      <c r="I6" s="179"/>
      <c r="J6" s="205"/>
      <c r="K6" s="103">
        <v>0</v>
      </c>
      <c r="L6" s="71">
        <v>0</v>
      </c>
      <c r="M6" s="102">
        <f>K6+K6*L6</f>
        <v>0</v>
      </c>
      <c r="N6" s="102">
        <f>M6*J6</f>
        <v>0</v>
      </c>
      <c r="O6" s="73">
        <f>D6*M6</f>
        <v>0</v>
      </c>
      <c r="P6" s="65"/>
      <c r="Q6" s="98"/>
    </row>
    <row r="7" spans="1:17" ht="15" x14ac:dyDescent="0.25">
      <c r="A7" s="182"/>
      <c r="B7" s="182"/>
      <c r="C7" s="182"/>
      <c r="D7" s="182"/>
      <c r="E7" s="182"/>
      <c r="F7" s="182"/>
      <c r="G7" s="182"/>
      <c r="H7" s="244"/>
      <c r="I7" s="244"/>
      <c r="J7" s="244"/>
      <c r="K7" s="245">
        <f>SUM(K2:K6)</f>
        <v>0</v>
      </c>
      <c r="L7" s="246"/>
      <c r="M7" s="207">
        <f>SUM(M2:M6)</f>
        <v>0</v>
      </c>
      <c r="N7" s="207">
        <f>SUM(N2:N6)</f>
        <v>0</v>
      </c>
      <c r="O7" s="207">
        <f>SUM(O2:O6)</f>
        <v>0</v>
      </c>
      <c r="P7" s="207"/>
      <c r="Q7" s="207"/>
    </row>
    <row r="8" spans="1:17" ht="15.6" x14ac:dyDescent="0.3">
      <c r="A8" s="64"/>
      <c r="B8" s="64"/>
      <c r="C8" s="126"/>
      <c r="K8" s="58"/>
      <c r="L8" s="118" t="s">
        <v>79</v>
      </c>
      <c r="M8" s="35">
        <f>IF(K7=0,0,M7/K7-1)</f>
        <v>0</v>
      </c>
    </row>
    <row r="9" spans="1:17" ht="14.4" x14ac:dyDescent="0.3">
      <c r="A9" s="64"/>
      <c r="B9" s="64"/>
      <c r="C9" s="126"/>
    </row>
    <row r="10" spans="1:17" ht="14.4" x14ac:dyDescent="0.3">
      <c r="A10" s="64"/>
      <c r="B10" s="64"/>
      <c r="C10" s="126"/>
    </row>
    <row r="11" spans="1:17" ht="14.4" x14ac:dyDescent="0.3">
      <c r="A11" s="64"/>
      <c r="B11" s="64"/>
      <c r="C11" s="126"/>
    </row>
    <row r="12" spans="1:17" ht="14.4" x14ac:dyDescent="0.3">
      <c r="A12" s="64"/>
      <c r="B12" s="64"/>
      <c r="C12" s="126"/>
    </row>
    <row r="13" spans="1:17" ht="14.4" x14ac:dyDescent="0.3">
      <c r="A13" s="64"/>
      <c r="B13" s="64"/>
      <c r="C13" s="126"/>
    </row>
    <row r="14" spans="1:17" ht="14.4" x14ac:dyDescent="0.3">
      <c r="A14" s="64"/>
      <c r="B14" s="64"/>
      <c r="C14" s="126"/>
    </row>
    <row r="15" spans="1:17" ht="14.4" x14ac:dyDescent="0.3">
      <c r="A15" s="64"/>
      <c r="B15" s="64"/>
      <c r="C15" s="126"/>
    </row>
    <row r="16" spans="1:17" ht="14.4" x14ac:dyDescent="0.3">
      <c r="A16" s="64"/>
      <c r="B16" s="64"/>
      <c r="C16" s="126"/>
    </row>
    <row r="17" spans="1:3" ht="14.4" x14ac:dyDescent="0.3">
      <c r="A17" s="64"/>
      <c r="B17" s="64"/>
      <c r="C17" s="126"/>
    </row>
    <row r="18" spans="1:3" ht="14.4" x14ac:dyDescent="0.3">
      <c r="A18" s="64"/>
      <c r="B18" s="64"/>
      <c r="C18" s="126"/>
    </row>
    <row r="19" spans="1:3" ht="14.4" x14ac:dyDescent="0.3">
      <c r="A19" s="64"/>
      <c r="B19" s="64"/>
      <c r="C19" s="126"/>
    </row>
    <row r="20" spans="1:3" ht="14.4" x14ac:dyDescent="0.3">
      <c r="A20" s="64"/>
      <c r="B20" s="64"/>
      <c r="C20" s="126"/>
    </row>
    <row r="21" spans="1:3" ht="14.4" x14ac:dyDescent="0.3">
      <c r="A21" s="64"/>
      <c r="B21" s="64"/>
      <c r="C21" s="126"/>
    </row>
    <row r="22" spans="1:3" ht="14.4" x14ac:dyDescent="0.3">
      <c r="A22" s="64"/>
      <c r="B22" s="64"/>
      <c r="C22" s="126"/>
    </row>
    <row r="23" spans="1:3" ht="14.4" x14ac:dyDescent="0.3">
      <c r="A23" s="64"/>
      <c r="B23" s="64"/>
      <c r="C23" s="126"/>
    </row>
    <row r="24" spans="1:3" ht="14.4" x14ac:dyDescent="0.3">
      <c r="A24" s="64"/>
      <c r="B24" s="64"/>
      <c r="C24" s="126"/>
    </row>
    <row r="25" spans="1:3" ht="14.4" x14ac:dyDescent="0.3">
      <c r="A25" s="64"/>
      <c r="B25" s="64"/>
      <c r="C25" s="126"/>
    </row>
    <row r="26" spans="1:3" ht="14.4" x14ac:dyDescent="0.3">
      <c r="A26" s="64"/>
      <c r="B26" s="64"/>
      <c r="C26" s="126"/>
    </row>
    <row r="27" spans="1:3" ht="14.4" x14ac:dyDescent="0.3">
      <c r="A27" s="64"/>
      <c r="B27" s="64"/>
      <c r="C27" s="126"/>
    </row>
    <row r="28" spans="1:3" ht="14.4" x14ac:dyDescent="0.3">
      <c r="A28" s="64"/>
      <c r="B28" s="64"/>
      <c r="C28" s="126"/>
    </row>
    <row r="29" spans="1:3" ht="14.4" x14ac:dyDescent="0.3">
      <c r="A29" s="64"/>
      <c r="B29" s="64"/>
      <c r="C29" s="126"/>
    </row>
    <row r="30" spans="1:3" ht="14.4" x14ac:dyDescent="0.3">
      <c r="A30" s="64"/>
      <c r="B30" s="64"/>
      <c r="C30" s="126"/>
    </row>
    <row r="31" spans="1:3" ht="14.4" x14ac:dyDescent="0.3">
      <c r="A31" s="64"/>
      <c r="B31" s="64"/>
      <c r="C31" s="126"/>
    </row>
    <row r="32" spans="1:3" ht="14.4" x14ac:dyDescent="0.3">
      <c r="A32" s="64"/>
      <c r="B32" s="64"/>
      <c r="C32" s="126"/>
    </row>
    <row r="33" spans="1:3" ht="14.4" x14ac:dyDescent="0.3">
      <c r="A33" s="64"/>
      <c r="B33" s="64"/>
      <c r="C33" s="126"/>
    </row>
    <row r="34" spans="1:3" ht="14.4" x14ac:dyDescent="0.3">
      <c r="A34" s="64"/>
      <c r="B34" s="64"/>
      <c r="C34" s="126"/>
    </row>
    <row r="35" spans="1:3" ht="14.4" x14ac:dyDescent="0.3">
      <c r="A35" s="64"/>
      <c r="B35" s="64"/>
      <c r="C35" s="126"/>
    </row>
    <row r="36" spans="1:3" ht="14.4" x14ac:dyDescent="0.3">
      <c r="A36" s="64"/>
      <c r="B36" s="64"/>
      <c r="C36" s="126"/>
    </row>
    <row r="37" spans="1:3" ht="14.4" x14ac:dyDescent="0.3">
      <c r="A37" s="64"/>
      <c r="B37" s="64"/>
      <c r="C37" s="126"/>
    </row>
    <row r="38" spans="1:3" ht="14.4" x14ac:dyDescent="0.3">
      <c r="A38" s="64"/>
      <c r="B38" s="64"/>
      <c r="C38" s="126"/>
    </row>
    <row r="39" spans="1:3" ht="14.4" x14ac:dyDescent="0.3">
      <c r="A39" s="64"/>
      <c r="B39" s="64"/>
      <c r="C39" s="126"/>
    </row>
    <row r="40" spans="1:3" ht="14.4" x14ac:dyDescent="0.3">
      <c r="A40" s="64"/>
      <c r="B40" s="64"/>
      <c r="C40" s="126"/>
    </row>
    <row r="41" spans="1:3" ht="14.4" x14ac:dyDescent="0.3">
      <c r="A41" s="64"/>
      <c r="B41" s="64"/>
      <c r="C41" s="126"/>
    </row>
    <row r="42" spans="1:3" ht="14.4" x14ac:dyDescent="0.3">
      <c r="A42" s="64"/>
      <c r="B42" s="64"/>
      <c r="C42" s="126"/>
    </row>
    <row r="43" spans="1:3" ht="14.4" x14ac:dyDescent="0.3">
      <c r="A43" s="64"/>
      <c r="B43" s="64"/>
      <c r="C43" s="126"/>
    </row>
    <row r="44" spans="1:3" x14ac:dyDescent="0.25">
      <c r="A44" s="64"/>
      <c r="B44" s="64"/>
    </row>
    <row r="45" spans="1:3" x14ac:dyDescent="0.25">
      <c r="A45" s="64"/>
      <c r="B45" s="64"/>
    </row>
    <row r="46" spans="1:3" x14ac:dyDescent="0.25">
      <c r="A46" s="64"/>
      <c r="B46" s="64"/>
    </row>
    <row r="47" spans="1:3" x14ac:dyDescent="0.25">
      <c r="A47" s="64"/>
      <c r="B47" s="64"/>
    </row>
    <row r="48" spans="1:3" x14ac:dyDescent="0.25">
      <c r="A48" s="64"/>
      <c r="B48" s="64"/>
    </row>
    <row r="49" s="64" customFormat="1" x14ac:dyDescent="0.25"/>
    <row r="50" s="64" customFormat="1" x14ac:dyDescent="0.25"/>
    <row r="51" s="64" customFormat="1" x14ac:dyDescent="0.25"/>
    <row r="52" s="64" customFormat="1" x14ac:dyDescent="0.25"/>
    <row r="53" s="64" customFormat="1" x14ac:dyDescent="0.25"/>
    <row r="54" s="64" customFormat="1" x14ac:dyDescent="0.25"/>
    <row r="55" s="64" customFormat="1" x14ac:dyDescent="0.25"/>
    <row r="56" s="64" customFormat="1" x14ac:dyDescent="0.25"/>
    <row r="57" s="64" customFormat="1" x14ac:dyDescent="0.25"/>
    <row r="58" s="64" customFormat="1" x14ac:dyDescent="0.25"/>
    <row r="59" s="64" customFormat="1" x14ac:dyDescent="0.25"/>
    <row r="60" s="64" customFormat="1" x14ac:dyDescent="0.25"/>
    <row r="61" s="64" customFormat="1" x14ac:dyDescent="0.25"/>
    <row r="62" s="64" customFormat="1" x14ac:dyDescent="0.25"/>
    <row r="63" s="64" customFormat="1" x14ac:dyDescent="0.25"/>
    <row r="64" s="64" customFormat="1" x14ac:dyDescent="0.25"/>
    <row r="65" s="64" customFormat="1" x14ac:dyDescent="0.25"/>
    <row r="66" s="64" customFormat="1" x14ac:dyDescent="0.25"/>
    <row r="67" s="64" customFormat="1" x14ac:dyDescent="0.25"/>
    <row r="68" s="64" customFormat="1" x14ac:dyDescent="0.25"/>
    <row r="69" s="64" customFormat="1" x14ac:dyDescent="0.25"/>
    <row r="70" s="64" customFormat="1" x14ac:dyDescent="0.25"/>
    <row r="71" s="64" customFormat="1" x14ac:dyDescent="0.25"/>
    <row r="72" s="64" customFormat="1" x14ac:dyDescent="0.25"/>
    <row r="73" s="64" customFormat="1" x14ac:dyDescent="0.25"/>
    <row r="74" s="64" customFormat="1" x14ac:dyDescent="0.25"/>
    <row r="75" s="64" customFormat="1" x14ac:dyDescent="0.25"/>
    <row r="76" s="64" customFormat="1" x14ac:dyDescent="0.25"/>
    <row r="77" s="64" customFormat="1" x14ac:dyDescent="0.25"/>
    <row r="78" s="64" customFormat="1" x14ac:dyDescent="0.25"/>
    <row r="79" s="64" customFormat="1" x14ac:dyDescent="0.25"/>
    <row r="80" s="64" customFormat="1" x14ac:dyDescent="0.25"/>
    <row r="81" s="64" customFormat="1" x14ac:dyDescent="0.25"/>
    <row r="82" s="64" customFormat="1" x14ac:dyDescent="0.25"/>
    <row r="83" s="64" customFormat="1" x14ac:dyDescent="0.25"/>
    <row r="84" s="64" customFormat="1" x14ac:dyDescent="0.25"/>
    <row r="85" s="64" customFormat="1" x14ac:dyDescent="0.25"/>
    <row r="86" s="64" customFormat="1" x14ac:dyDescent="0.25"/>
    <row r="87" s="64" customFormat="1" x14ac:dyDescent="0.25"/>
    <row r="88" s="64" customFormat="1" x14ac:dyDescent="0.25"/>
  </sheetData>
  <sheetProtection algorithmName="SHA-512" hashValue="i5FgkNj7cDgRyBPC5oqZ1AGbz6oBLYuMGzOjWPDESblRyGRndIi02wbbRLfqWXBuASzhGp7gNBkGpYVMtItvQw==" saltValue="d7cQyMlF6mXQW+99dkelcQ==" spinCount="100000" sheet="1" objects="1" scenarios="1"/>
  <sortState xmlns:xlrd2="http://schemas.microsoft.com/office/spreadsheetml/2017/richdata2" ref="A2:Q88">
    <sortCondition ref="C1:C88"/>
  </sortState>
  <pageMargins left="0.7" right="0.7" top="0.75" bottom="0.75" header="0.3" footer="0.3"/>
  <pageSetup paperSize="9" scale="4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11">
    <pageSetUpPr fitToPage="1"/>
  </sheetPr>
  <dimension ref="A1:Q81"/>
  <sheetViews>
    <sheetView topLeftCell="C1" workbookViewId="0">
      <pane ySplit="1" topLeftCell="A2" activePane="bottomLeft" state="frozen"/>
      <selection pane="bottomLeft" activeCell="O80" sqref="O80"/>
    </sheetView>
  </sheetViews>
  <sheetFormatPr baseColWidth="10" defaultRowHeight="14.4" x14ac:dyDescent="0.3"/>
  <cols>
    <col min="1" max="1" width="9.44140625" style="5" customWidth="1"/>
    <col min="2" max="2" width="15.44140625" style="5" customWidth="1"/>
    <col min="3" max="3" width="56.6640625" customWidth="1"/>
    <col min="4" max="4" width="11.44140625" style="49" customWidth="1"/>
    <col min="5" max="5" width="7.44140625" style="49" customWidth="1"/>
    <col min="6" max="6" width="9.33203125" style="49" customWidth="1"/>
    <col min="7" max="7" width="11.88671875" style="49" customWidth="1"/>
    <col min="8" max="8" width="15.88671875" style="1" customWidth="1"/>
    <col min="9" max="9" width="38.88671875" style="46" customWidth="1"/>
    <col min="10" max="10" width="13.44140625" style="84" customWidth="1"/>
    <col min="11" max="11" width="13.33203125" style="46" customWidth="1"/>
    <col min="12" max="12" width="13.109375" customWidth="1"/>
    <col min="13" max="13" width="18.44140625" style="3" customWidth="1"/>
    <col min="14" max="14" width="19.6640625" style="3" customWidth="1"/>
    <col min="15" max="15" width="20.6640625" style="3" customWidth="1"/>
    <col min="16" max="16" width="13.6640625" customWidth="1"/>
    <col min="17" max="17" width="15.6640625" customWidth="1"/>
  </cols>
  <sheetData>
    <row r="1" spans="1:17" s="54" customFormat="1" ht="118.2" customHeight="1" x14ac:dyDescent="0.3">
      <c r="A1" s="29" t="s">
        <v>12</v>
      </c>
      <c r="B1" s="95" t="s">
        <v>87</v>
      </c>
      <c r="C1" s="96" t="s">
        <v>55</v>
      </c>
      <c r="D1" s="48" t="s">
        <v>57</v>
      </c>
      <c r="E1" s="48" t="s">
        <v>44</v>
      </c>
      <c r="F1" s="48" t="s">
        <v>207</v>
      </c>
      <c r="G1" s="48" t="s">
        <v>221</v>
      </c>
      <c r="H1" s="313" t="s">
        <v>58</v>
      </c>
      <c r="I1" s="313" t="s">
        <v>5</v>
      </c>
      <c r="J1" s="314" t="s">
        <v>249</v>
      </c>
      <c r="K1" s="315" t="s">
        <v>250</v>
      </c>
      <c r="L1" s="316" t="s">
        <v>72</v>
      </c>
      <c r="M1" s="86" t="s">
        <v>73</v>
      </c>
      <c r="N1" s="86" t="s">
        <v>45</v>
      </c>
      <c r="O1" s="86" t="s">
        <v>3</v>
      </c>
      <c r="P1" s="135" t="s">
        <v>90</v>
      </c>
      <c r="Q1" s="143" t="s">
        <v>92</v>
      </c>
    </row>
    <row r="2" spans="1:17" s="2" customFormat="1" ht="15.6" x14ac:dyDescent="0.3">
      <c r="A2" s="132">
        <f>'Matter og sklisikring'!A6+1</f>
        <v>126</v>
      </c>
      <c r="B2" s="169">
        <v>243122</v>
      </c>
      <c r="C2" s="160" t="s">
        <v>123</v>
      </c>
      <c r="D2" s="221">
        <v>4</v>
      </c>
      <c r="E2" s="221" t="s">
        <v>112</v>
      </c>
      <c r="F2" s="310">
        <f>D2</f>
        <v>4</v>
      </c>
      <c r="G2" s="250" t="s">
        <v>222</v>
      </c>
      <c r="H2" s="130"/>
      <c r="I2" s="6"/>
      <c r="J2" s="82"/>
      <c r="K2" s="112">
        <v>0</v>
      </c>
      <c r="L2" s="7">
        <v>0</v>
      </c>
      <c r="M2" s="111">
        <f t="shared" ref="M2:M33" si="0">K2+K2*L2</f>
        <v>0</v>
      </c>
      <c r="N2" s="111">
        <f t="shared" ref="N2:N33" si="1">J2*M2</f>
        <v>0</v>
      </c>
      <c r="O2" s="27">
        <f t="shared" ref="O2:O33" si="2">M2*F2</f>
        <v>0</v>
      </c>
      <c r="P2" s="98"/>
      <c r="Q2" s="98"/>
    </row>
    <row r="3" spans="1:17" s="2" customFormat="1" ht="15.6" x14ac:dyDescent="0.3">
      <c r="A3" s="132">
        <f t="shared" ref="A3:A17" si="3">A2+1</f>
        <v>127</v>
      </c>
      <c r="B3" s="168">
        <v>407933</v>
      </c>
      <c r="C3" s="159" t="s">
        <v>122</v>
      </c>
      <c r="D3" s="211">
        <v>6</v>
      </c>
      <c r="E3" s="152" t="s">
        <v>109</v>
      </c>
      <c r="F3" s="250">
        <f>D3*6</f>
        <v>36</v>
      </c>
      <c r="G3" s="250" t="s">
        <v>223</v>
      </c>
      <c r="H3" s="131"/>
      <c r="I3" s="8"/>
      <c r="J3" s="83"/>
      <c r="K3" s="112">
        <v>0</v>
      </c>
      <c r="L3" s="7">
        <v>0</v>
      </c>
      <c r="M3" s="111">
        <f t="shared" si="0"/>
        <v>0</v>
      </c>
      <c r="N3" s="111">
        <f t="shared" si="1"/>
        <v>0</v>
      </c>
      <c r="O3" s="27">
        <f t="shared" si="2"/>
        <v>0</v>
      </c>
      <c r="P3" s="98"/>
      <c r="Q3" s="98"/>
    </row>
    <row r="4" spans="1:17" s="2" customFormat="1" ht="15.6" x14ac:dyDescent="0.3">
      <c r="A4" s="132">
        <f t="shared" si="3"/>
        <v>128</v>
      </c>
      <c r="B4" s="169">
        <v>323847</v>
      </c>
      <c r="C4" s="160" t="s">
        <v>202</v>
      </c>
      <c r="D4" s="211">
        <v>3</v>
      </c>
      <c r="E4" s="211" t="s">
        <v>109</v>
      </c>
      <c r="F4" s="250">
        <f>D4*6</f>
        <v>18</v>
      </c>
      <c r="G4" s="250" t="s">
        <v>228</v>
      </c>
      <c r="H4" s="131"/>
      <c r="I4" s="8"/>
      <c r="J4" s="83"/>
      <c r="K4" s="112">
        <v>0</v>
      </c>
      <c r="L4" s="7">
        <v>0</v>
      </c>
      <c r="M4" s="111">
        <f t="shared" si="0"/>
        <v>0</v>
      </c>
      <c r="N4" s="111">
        <f t="shared" si="1"/>
        <v>0</v>
      </c>
      <c r="O4" s="27">
        <f t="shared" si="2"/>
        <v>0</v>
      </c>
      <c r="P4" s="98"/>
      <c r="Q4" s="98"/>
    </row>
    <row r="5" spans="1:17" s="2" customFormat="1" ht="15.6" x14ac:dyDescent="0.3">
      <c r="A5" s="132">
        <f t="shared" si="3"/>
        <v>129</v>
      </c>
      <c r="B5" s="168">
        <v>249872</v>
      </c>
      <c r="C5" s="208" t="s">
        <v>124</v>
      </c>
      <c r="D5" s="211">
        <v>8</v>
      </c>
      <c r="E5" s="211" t="s">
        <v>112</v>
      </c>
      <c r="F5" s="250">
        <f t="shared" ref="F5:F16" si="4">D5</f>
        <v>8</v>
      </c>
      <c r="G5" s="250" t="s">
        <v>222</v>
      </c>
      <c r="H5" s="131"/>
      <c r="I5" s="8"/>
      <c r="J5" s="83"/>
      <c r="K5" s="112">
        <v>0</v>
      </c>
      <c r="L5" s="7">
        <v>0</v>
      </c>
      <c r="M5" s="111">
        <f t="shared" si="0"/>
        <v>0</v>
      </c>
      <c r="N5" s="111">
        <f t="shared" si="1"/>
        <v>0</v>
      </c>
      <c r="O5" s="27">
        <f t="shared" si="2"/>
        <v>0</v>
      </c>
      <c r="P5" s="98"/>
      <c r="Q5" s="98"/>
    </row>
    <row r="6" spans="1:17" s="2" customFormat="1" ht="15.6" x14ac:dyDescent="0.3">
      <c r="A6" s="132">
        <f t="shared" si="3"/>
        <v>130</v>
      </c>
      <c r="B6" s="169">
        <v>72244</v>
      </c>
      <c r="C6" s="209" t="s">
        <v>191</v>
      </c>
      <c r="D6" s="211">
        <v>51</v>
      </c>
      <c r="E6" s="211" t="s">
        <v>112</v>
      </c>
      <c r="F6" s="250">
        <f t="shared" si="4"/>
        <v>51</v>
      </c>
      <c r="G6" s="250" t="s">
        <v>222</v>
      </c>
      <c r="H6" s="131"/>
      <c r="I6" s="8"/>
      <c r="J6" s="83"/>
      <c r="K6" s="112">
        <v>0</v>
      </c>
      <c r="L6" s="7">
        <v>0</v>
      </c>
      <c r="M6" s="111">
        <f t="shared" si="0"/>
        <v>0</v>
      </c>
      <c r="N6" s="111">
        <f t="shared" si="1"/>
        <v>0</v>
      </c>
      <c r="O6" s="27">
        <f t="shared" si="2"/>
        <v>0</v>
      </c>
      <c r="P6" s="98"/>
      <c r="Q6" s="98"/>
    </row>
    <row r="7" spans="1:17" s="2" customFormat="1" ht="15.6" x14ac:dyDescent="0.3">
      <c r="A7" s="132">
        <f t="shared" si="3"/>
        <v>131</v>
      </c>
      <c r="B7" s="168">
        <v>316673</v>
      </c>
      <c r="C7" s="159" t="s">
        <v>129</v>
      </c>
      <c r="D7" s="211">
        <v>40</v>
      </c>
      <c r="E7" s="211" t="s">
        <v>112</v>
      </c>
      <c r="F7" s="250">
        <f t="shared" si="4"/>
        <v>40</v>
      </c>
      <c r="G7" s="250" t="s">
        <v>222</v>
      </c>
      <c r="H7" s="131"/>
      <c r="I7" s="98"/>
      <c r="J7" s="157"/>
      <c r="K7" s="112">
        <v>0</v>
      </c>
      <c r="L7" s="7">
        <v>0</v>
      </c>
      <c r="M7" s="111">
        <f t="shared" si="0"/>
        <v>0</v>
      </c>
      <c r="N7" s="111">
        <f t="shared" si="1"/>
        <v>0</v>
      </c>
      <c r="O7" s="27">
        <f t="shared" si="2"/>
        <v>0</v>
      </c>
      <c r="P7" s="98"/>
      <c r="Q7" s="98"/>
    </row>
    <row r="8" spans="1:17" s="2" customFormat="1" ht="15.6" x14ac:dyDescent="0.3">
      <c r="A8" s="132">
        <f t="shared" si="3"/>
        <v>132</v>
      </c>
      <c r="B8" s="284">
        <v>316691</v>
      </c>
      <c r="C8" s="159" t="s">
        <v>280</v>
      </c>
      <c r="D8" s="211">
        <v>10</v>
      </c>
      <c r="E8" s="211" t="s">
        <v>112</v>
      </c>
      <c r="F8" s="211">
        <f t="shared" si="4"/>
        <v>10</v>
      </c>
      <c r="G8" s="311" t="s">
        <v>222</v>
      </c>
      <c r="H8" s="290"/>
      <c r="I8" s="98"/>
      <c r="J8" s="157"/>
      <c r="K8" s="112">
        <v>0</v>
      </c>
      <c r="L8" s="7">
        <v>0</v>
      </c>
      <c r="M8" s="111">
        <f t="shared" si="0"/>
        <v>0</v>
      </c>
      <c r="N8" s="111">
        <f t="shared" si="1"/>
        <v>0</v>
      </c>
      <c r="O8" s="27">
        <f t="shared" si="2"/>
        <v>0</v>
      </c>
      <c r="P8" s="98"/>
      <c r="Q8" s="98"/>
    </row>
    <row r="9" spans="1:17" s="2" customFormat="1" ht="15.6" x14ac:dyDescent="0.3">
      <c r="A9" s="132">
        <f t="shared" si="3"/>
        <v>133</v>
      </c>
      <c r="B9" s="168">
        <v>316670</v>
      </c>
      <c r="C9" s="159" t="s">
        <v>128</v>
      </c>
      <c r="D9" s="211">
        <v>63</v>
      </c>
      <c r="E9" s="211" t="s">
        <v>112</v>
      </c>
      <c r="F9" s="250">
        <f t="shared" si="4"/>
        <v>63</v>
      </c>
      <c r="G9" s="250" t="s">
        <v>222</v>
      </c>
      <c r="H9" s="131"/>
      <c r="I9" s="8"/>
      <c r="J9" s="83"/>
      <c r="K9" s="112">
        <v>0</v>
      </c>
      <c r="L9" s="7">
        <v>0</v>
      </c>
      <c r="M9" s="111">
        <f t="shared" si="0"/>
        <v>0</v>
      </c>
      <c r="N9" s="111">
        <f t="shared" si="1"/>
        <v>0</v>
      </c>
      <c r="O9" s="27">
        <f t="shared" si="2"/>
        <v>0</v>
      </c>
      <c r="P9" s="98"/>
      <c r="Q9" s="98"/>
    </row>
    <row r="10" spans="1:17" s="2" customFormat="1" ht="15.6" x14ac:dyDescent="0.3">
      <c r="A10" s="132">
        <f t="shared" si="3"/>
        <v>134</v>
      </c>
      <c r="B10" s="284">
        <v>316684</v>
      </c>
      <c r="C10" s="159" t="s">
        <v>281</v>
      </c>
      <c r="D10" s="211">
        <v>5</v>
      </c>
      <c r="E10" s="211" t="s">
        <v>112</v>
      </c>
      <c r="F10" s="250">
        <f t="shared" si="4"/>
        <v>5</v>
      </c>
      <c r="G10" s="250" t="s">
        <v>222</v>
      </c>
      <c r="H10" s="121"/>
      <c r="I10" s="98"/>
      <c r="J10" s="157"/>
      <c r="K10" s="112">
        <v>0</v>
      </c>
      <c r="L10" s="7">
        <v>0</v>
      </c>
      <c r="M10" s="111">
        <f t="shared" si="0"/>
        <v>0</v>
      </c>
      <c r="N10" s="111">
        <f t="shared" si="1"/>
        <v>0</v>
      </c>
      <c r="O10" s="27">
        <f t="shared" si="2"/>
        <v>0</v>
      </c>
      <c r="P10" s="98"/>
      <c r="Q10" s="98"/>
    </row>
    <row r="11" spans="1:17" s="2" customFormat="1" ht="15.6" x14ac:dyDescent="0.3">
      <c r="A11" s="132">
        <f t="shared" si="3"/>
        <v>135</v>
      </c>
      <c r="B11" s="168">
        <v>316664</v>
      </c>
      <c r="C11" s="208" t="s">
        <v>127</v>
      </c>
      <c r="D11" s="211">
        <v>21</v>
      </c>
      <c r="E11" s="211" t="s">
        <v>112</v>
      </c>
      <c r="F11" s="250">
        <f t="shared" si="4"/>
        <v>21</v>
      </c>
      <c r="G11" s="250" t="s">
        <v>222</v>
      </c>
      <c r="H11" s="131"/>
      <c r="I11" s="8"/>
      <c r="J11" s="83"/>
      <c r="K11" s="112">
        <v>0</v>
      </c>
      <c r="L11" s="7">
        <v>0</v>
      </c>
      <c r="M11" s="111">
        <f t="shared" si="0"/>
        <v>0</v>
      </c>
      <c r="N11" s="111">
        <f t="shared" si="1"/>
        <v>0</v>
      </c>
      <c r="O11" s="27">
        <f t="shared" si="2"/>
        <v>0</v>
      </c>
      <c r="P11" s="98"/>
      <c r="Q11" s="98"/>
    </row>
    <row r="12" spans="1:17" s="2" customFormat="1" ht="15.6" x14ac:dyDescent="0.3">
      <c r="A12" s="132">
        <f t="shared" si="3"/>
        <v>136</v>
      </c>
      <c r="B12" s="284">
        <v>316663</v>
      </c>
      <c r="C12" s="159" t="s">
        <v>361</v>
      </c>
      <c r="D12" s="211">
        <v>5</v>
      </c>
      <c r="E12" s="211" t="s">
        <v>112</v>
      </c>
      <c r="F12" s="250">
        <f t="shared" si="4"/>
        <v>5</v>
      </c>
      <c r="G12" s="250" t="s">
        <v>222</v>
      </c>
      <c r="H12" s="121"/>
      <c r="I12" s="98"/>
      <c r="J12" s="157"/>
      <c r="K12" s="112">
        <v>0</v>
      </c>
      <c r="L12" s="7">
        <v>0</v>
      </c>
      <c r="M12" s="111">
        <f t="shared" si="0"/>
        <v>0</v>
      </c>
      <c r="N12" s="111">
        <f t="shared" si="1"/>
        <v>0</v>
      </c>
      <c r="O12" s="27">
        <f t="shared" si="2"/>
        <v>0</v>
      </c>
      <c r="P12" s="98"/>
      <c r="Q12" s="98"/>
    </row>
    <row r="13" spans="1:17" s="2" customFormat="1" ht="15.6" x14ac:dyDescent="0.3">
      <c r="A13" s="132">
        <f t="shared" si="3"/>
        <v>137</v>
      </c>
      <c r="B13" s="169">
        <v>316662</v>
      </c>
      <c r="C13" s="160" t="s">
        <v>208</v>
      </c>
      <c r="D13" s="211">
        <v>25</v>
      </c>
      <c r="E13" s="211" t="s">
        <v>112</v>
      </c>
      <c r="F13" s="250">
        <f t="shared" si="4"/>
        <v>25</v>
      </c>
      <c r="G13" s="250" t="s">
        <v>222</v>
      </c>
      <c r="H13" s="131"/>
      <c r="I13" s="8"/>
      <c r="J13" s="83"/>
      <c r="K13" s="112">
        <v>0</v>
      </c>
      <c r="L13" s="7">
        <v>0</v>
      </c>
      <c r="M13" s="111">
        <f t="shared" si="0"/>
        <v>0</v>
      </c>
      <c r="N13" s="111">
        <f t="shared" si="1"/>
        <v>0</v>
      </c>
      <c r="O13" s="27">
        <f t="shared" si="2"/>
        <v>0</v>
      </c>
      <c r="P13" s="98"/>
      <c r="Q13" s="98"/>
    </row>
    <row r="14" spans="1:17" s="2" customFormat="1" ht="15.6" x14ac:dyDescent="0.3">
      <c r="A14" s="132">
        <f t="shared" si="3"/>
        <v>138</v>
      </c>
      <c r="B14" s="284">
        <v>290593</v>
      </c>
      <c r="C14" s="159" t="s">
        <v>362</v>
      </c>
      <c r="D14" s="211">
        <v>2</v>
      </c>
      <c r="E14" s="211" t="s">
        <v>112</v>
      </c>
      <c r="F14" s="250">
        <f t="shared" si="4"/>
        <v>2</v>
      </c>
      <c r="G14" s="250" t="s">
        <v>227</v>
      </c>
      <c r="H14" s="121"/>
      <c r="I14" s="98"/>
      <c r="J14" s="157"/>
      <c r="K14" s="112">
        <v>0</v>
      </c>
      <c r="L14" s="7">
        <v>0</v>
      </c>
      <c r="M14" s="111">
        <f t="shared" si="0"/>
        <v>0</v>
      </c>
      <c r="N14" s="111">
        <f t="shared" si="1"/>
        <v>0</v>
      </c>
      <c r="O14" s="27">
        <f t="shared" si="2"/>
        <v>0</v>
      </c>
      <c r="P14" s="98"/>
      <c r="Q14" s="98"/>
    </row>
    <row r="15" spans="1:17" s="2" customFormat="1" ht="15.6" x14ac:dyDescent="0.3">
      <c r="A15" s="132">
        <f t="shared" si="3"/>
        <v>139</v>
      </c>
      <c r="B15" s="168">
        <v>291330</v>
      </c>
      <c r="C15" s="159" t="s">
        <v>126</v>
      </c>
      <c r="D15" s="211">
        <v>5</v>
      </c>
      <c r="E15" s="211" t="s">
        <v>112</v>
      </c>
      <c r="F15" s="250">
        <f t="shared" si="4"/>
        <v>5</v>
      </c>
      <c r="G15" s="250" t="s">
        <v>222</v>
      </c>
      <c r="H15" s="131"/>
      <c r="I15" s="8"/>
      <c r="J15" s="83"/>
      <c r="K15" s="112">
        <v>0</v>
      </c>
      <c r="L15" s="7">
        <v>0</v>
      </c>
      <c r="M15" s="111">
        <f t="shared" si="0"/>
        <v>0</v>
      </c>
      <c r="N15" s="111">
        <f t="shared" si="1"/>
        <v>0</v>
      </c>
      <c r="O15" s="27">
        <f t="shared" si="2"/>
        <v>0</v>
      </c>
      <c r="P15" s="98"/>
      <c r="Q15" s="98"/>
    </row>
    <row r="16" spans="1:17" ht="15.6" x14ac:dyDescent="0.3">
      <c r="A16" s="132">
        <f t="shared" si="3"/>
        <v>140</v>
      </c>
      <c r="B16" s="168">
        <v>267742</v>
      </c>
      <c r="C16" s="159" t="s">
        <v>125</v>
      </c>
      <c r="D16" s="211">
        <v>30</v>
      </c>
      <c r="E16" s="213" t="s">
        <v>112</v>
      </c>
      <c r="F16" s="250">
        <f t="shared" si="4"/>
        <v>30</v>
      </c>
      <c r="G16" s="250" t="s">
        <v>222</v>
      </c>
      <c r="H16" s="131"/>
      <c r="I16" s="8"/>
      <c r="J16" s="83"/>
      <c r="K16" s="112">
        <v>0</v>
      </c>
      <c r="L16" s="7">
        <v>0</v>
      </c>
      <c r="M16" s="111">
        <f t="shared" si="0"/>
        <v>0</v>
      </c>
      <c r="N16" s="111">
        <f t="shared" si="1"/>
        <v>0</v>
      </c>
      <c r="O16" s="27">
        <f t="shared" si="2"/>
        <v>0</v>
      </c>
      <c r="P16" s="98"/>
      <c r="Q16" s="98"/>
    </row>
    <row r="17" spans="1:17" ht="15.6" x14ac:dyDescent="0.3">
      <c r="A17" s="132">
        <f t="shared" si="3"/>
        <v>141</v>
      </c>
      <c r="B17" s="169">
        <v>386200</v>
      </c>
      <c r="C17" s="160" t="s">
        <v>171</v>
      </c>
      <c r="D17" s="152">
        <v>2</v>
      </c>
      <c r="E17" s="152" t="s">
        <v>109</v>
      </c>
      <c r="F17" s="249">
        <f>2*5*50</f>
        <v>500</v>
      </c>
      <c r="G17" s="249" t="s">
        <v>222</v>
      </c>
      <c r="H17" s="131"/>
      <c r="I17" s="8"/>
      <c r="J17" s="83"/>
      <c r="K17" s="112">
        <v>0</v>
      </c>
      <c r="L17" s="7">
        <v>0</v>
      </c>
      <c r="M17" s="111">
        <f t="shared" si="0"/>
        <v>0</v>
      </c>
      <c r="N17" s="111">
        <f t="shared" si="1"/>
        <v>0</v>
      </c>
      <c r="O17" s="27">
        <f t="shared" si="2"/>
        <v>0</v>
      </c>
      <c r="P17" s="8"/>
      <c r="Q17" s="98"/>
    </row>
    <row r="18" spans="1:17" ht="15.6" x14ac:dyDescent="0.3">
      <c r="A18" s="132">
        <f t="shared" ref="A18:A22" si="5">A17+1</f>
        <v>142</v>
      </c>
      <c r="B18" s="169">
        <v>404666</v>
      </c>
      <c r="C18" s="160" t="s">
        <v>209</v>
      </c>
      <c r="D18" s="152">
        <v>104</v>
      </c>
      <c r="E18" s="152" t="s">
        <v>117</v>
      </c>
      <c r="F18" s="250">
        <f>D18*100</f>
        <v>10400</v>
      </c>
      <c r="G18" s="250" t="s">
        <v>112</v>
      </c>
      <c r="H18" s="131"/>
      <c r="I18" s="8"/>
      <c r="J18" s="83"/>
      <c r="K18" s="112">
        <v>0</v>
      </c>
      <c r="L18" s="7">
        <v>0</v>
      </c>
      <c r="M18" s="111">
        <f t="shared" si="0"/>
        <v>0</v>
      </c>
      <c r="N18" s="111">
        <f t="shared" si="1"/>
        <v>0</v>
      </c>
      <c r="O18" s="27">
        <f t="shared" si="2"/>
        <v>0</v>
      </c>
      <c r="P18" s="98"/>
      <c r="Q18" s="98"/>
    </row>
    <row r="19" spans="1:17" s="46" customFormat="1" ht="15.6" x14ac:dyDescent="0.3">
      <c r="A19" s="132">
        <f t="shared" si="5"/>
        <v>143</v>
      </c>
      <c r="B19" s="168">
        <v>404665</v>
      </c>
      <c r="C19" s="210" t="s">
        <v>363</v>
      </c>
      <c r="D19" s="152">
        <v>219</v>
      </c>
      <c r="E19" s="152" t="s">
        <v>117</v>
      </c>
      <c r="F19" s="250">
        <f>D19*100</f>
        <v>21900</v>
      </c>
      <c r="G19" s="250" t="s">
        <v>112</v>
      </c>
      <c r="H19" s="131"/>
      <c r="I19" s="8"/>
      <c r="J19" s="83"/>
      <c r="K19" s="112">
        <v>0</v>
      </c>
      <c r="L19" s="7">
        <v>0</v>
      </c>
      <c r="M19" s="111">
        <f t="shared" si="0"/>
        <v>0</v>
      </c>
      <c r="N19" s="111">
        <f t="shared" si="1"/>
        <v>0</v>
      </c>
      <c r="O19" s="27">
        <f t="shared" si="2"/>
        <v>0</v>
      </c>
      <c r="P19" s="98"/>
      <c r="Q19" s="98"/>
    </row>
    <row r="20" spans="1:17" s="46" customFormat="1" ht="15.6" x14ac:dyDescent="0.3">
      <c r="A20" s="132">
        <f t="shared" si="5"/>
        <v>144</v>
      </c>
      <c r="B20" s="168">
        <v>404664</v>
      </c>
      <c r="C20" s="159" t="s">
        <v>215</v>
      </c>
      <c r="D20" s="152">
        <v>40</v>
      </c>
      <c r="E20" s="152" t="s">
        <v>117</v>
      </c>
      <c r="F20" s="250">
        <f>D20*100</f>
        <v>4000</v>
      </c>
      <c r="G20" s="250" t="s">
        <v>112</v>
      </c>
      <c r="H20" s="131"/>
      <c r="I20" s="8"/>
      <c r="J20" s="83"/>
      <c r="K20" s="112">
        <v>0</v>
      </c>
      <c r="L20" s="7">
        <v>0</v>
      </c>
      <c r="M20" s="111">
        <f t="shared" si="0"/>
        <v>0</v>
      </c>
      <c r="N20" s="111">
        <f t="shared" si="1"/>
        <v>0</v>
      </c>
      <c r="O20" s="27">
        <f t="shared" si="2"/>
        <v>0</v>
      </c>
      <c r="P20" s="98"/>
      <c r="Q20" s="98"/>
    </row>
    <row r="21" spans="1:17" ht="15.6" x14ac:dyDescent="0.3">
      <c r="A21" s="132">
        <f t="shared" si="5"/>
        <v>145</v>
      </c>
      <c r="B21" s="168">
        <v>111249</v>
      </c>
      <c r="C21" s="159" t="s">
        <v>212</v>
      </c>
      <c r="D21" s="152">
        <v>10</v>
      </c>
      <c r="E21" s="152" t="s">
        <v>117</v>
      </c>
      <c r="F21" s="250">
        <f>D21*200</f>
        <v>2000</v>
      </c>
      <c r="G21" s="250" t="s">
        <v>112</v>
      </c>
      <c r="H21" s="131"/>
      <c r="I21" s="8"/>
      <c r="J21" s="83"/>
      <c r="K21" s="112">
        <v>0</v>
      </c>
      <c r="L21" s="7">
        <v>0</v>
      </c>
      <c r="M21" s="111">
        <f t="shared" si="0"/>
        <v>0</v>
      </c>
      <c r="N21" s="111">
        <f t="shared" si="1"/>
        <v>0</v>
      </c>
      <c r="O21" s="27">
        <f t="shared" si="2"/>
        <v>0</v>
      </c>
      <c r="P21" s="98"/>
      <c r="Q21" s="98"/>
    </row>
    <row r="22" spans="1:17" ht="15.6" x14ac:dyDescent="0.3">
      <c r="A22" s="132">
        <f t="shared" si="5"/>
        <v>146</v>
      </c>
      <c r="B22" s="168" t="s">
        <v>368</v>
      </c>
      <c r="C22" s="159" t="s">
        <v>213</v>
      </c>
      <c r="D22" s="152">
        <f>12+1*10</f>
        <v>22</v>
      </c>
      <c r="E22" s="152" t="s">
        <v>117</v>
      </c>
      <c r="F22" s="250">
        <f>D22*200</f>
        <v>4400</v>
      </c>
      <c r="G22" s="250" t="s">
        <v>112</v>
      </c>
      <c r="H22" s="131"/>
      <c r="I22" s="8"/>
      <c r="J22" s="83"/>
      <c r="K22" s="112">
        <v>0</v>
      </c>
      <c r="L22" s="7">
        <v>0</v>
      </c>
      <c r="M22" s="111">
        <f t="shared" si="0"/>
        <v>0</v>
      </c>
      <c r="N22" s="111">
        <f t="shared" si="1"/>
        <v>0</v>
      </c>
      <c r="O22" s="27">
        <f t="shared" si="2"/>
        <v>0</v>
      </c>
      <c r="P22" s="98"/>
      <c r="Q22" s="98"/>
    </row>
    <row r="23" spans="1:17" ht="15.6" x14ac:dyDescent="0.3">
      <c r="A23" s="132">
        <f t="shared" ref="A23:A54" si="6">A22+1</f>
        <v>147</v>
      </c>
      <c r="B23" s="169">
        <v>111248</v>
      </c>
      <c r="C23" s="160" t="s">
        <v>211</v>
      </c>
      <c r="D23" s="152">
        <v>17</v>
      </c>
      <c r="E23" s="152" t="s">
        <v>117</v>
      </c>
      <c r="F23" s="250">
        <f>D23*200</f>
        <v>3400</v>
      </c>
      <c r="G23" s="250" t="s">
        <v>112</v>
      </c>
      <c r="H23" s="131"/>
      <c r="I23" s="8"/>
      <c r="J23" s="83"/>
      <c r="K23" s="112">
        <v>0</v>
      </c>
      <c r="L23" s="7">
        <v>0</v>
      </c>
      <c r="M23" s="111">
        <f t="shared" si="0"/>
        <v>0</v>
      </c>
      <c r="N23" s="111">
        <f t="shared" si="1"/>
        <v>0</v>
      </c>
      <c r="O23" s="27">
        <f t="shared" si="2"/>
        <v>0</v>
      </c>
      <c r="P23" s="98"/>
      <c r="Q23" s="98"/>
    </row>
    <row r="24" spans="1:17" ht="15.6" x14ac:dyDescent="0.3">
      <c r="A24" s="132">
        <f t="shared" si="6"/>
        <v>148</v>
      </c>
      <c r="B24" s="168">
        <v>192288</v>
      </c>
      <c r="C24" s="159" t="s">
        <v>214</v>
      </c>
      <c r="D24" s="211">
        <f>5*10+6</f>
        <v>56</v>
      </c>
      <c r="E24" s="152" t="s">
        <v>117</v>
      </c>
      <c r="F24" s="250">
        <f>D24*100</f>
        <v>5600</v>
      </c>
      <c r="G24" s="250" t="s">
        <v>112</v>
      </c>
      <c r="H24" s="131"/>
      <c r="I24" s="8"/>
      <c r="J24" s="83"/>
      <c r="K24" s="112">
        <v>0</v>
      </c>
      <c r="L24" s="7">
        <v>0</v>
      </c>
      <c r="M24" s="111">
        <f t="shared" si="0"/>
        <v>0</v>
      </c>
      <c r="N24" s="111">
        <f t="shared" si="1"/>
        <v>0</v>
      </c>
      <c r="O24" s="27">
        <f t="shared" si="2"/>
        <v>0</v>
      </c>
      <c r="P24" s="98"/>
      <c r="Q24" s="98"/>
    </row>
    <row r="25" spans="1:17" ht="15.6" x14ac:dyDescent="0.3">
      <c r="A25" s="132">
        <f t="shared" si="6"/>
        <v>149</v>
      </c>
      <c r="B25" s="168">
        <v>109868</v>
      </c>
      <c r="C25" s="159" t="s">
        <v>210</v>
      </c>
      <c r="D25" s="152">
        <v>15</v>
      </c>
      <c r="E25" s="152" t="s">
        <v>117</v>
      </c>
      <c r="F25" s="250">
        <f>D25*100</f>
        <v>1500</v>
      </c>
      <c r="G25" s="250" t="s">
        <v>112</v>
      </c>
      <c r="H25" s="131"/>
      <c r="I25" s="8"/>
      <c r="J25" s="83"/>
      <c r="K25" s="112">
        <v>0</v>
      </c>
      <c r="L25" s="7">
        <v>0</v>
      </c>
      <c r="M25" s="111">
        <f t="shared" si="0"/>
        <v>0</v>
      </c>
      <c r="N25" s="111">
        <f t="shared" si="1"/>
        <v>0</v>
      </c>
      <c r="O25" s="27">
        <f t="shared" si="2"/>
        <v>0</v>
      </c>
      <c r="P25" s="98"/>
      <c r="Q25" s="98"/>
    </row>
    <row r="26" spans="1:17" ht="15.6" x14ac:dyDescent="0.3">
      <c r="A26" s="132">
        <f t="shared" si="6"/>
        <v>150</v>
      </c>
      <c r="B26" s="169">
        <v>192289</v>
      </c>
      <c r="C26" s="160" t="s">
        <v>216</v>
      </c>
      <c r="D26" s="211">
        <f>11+2*10</f>
        <v>31</v>
      </c>
      <c r="E26" s="152" t="s">
        <v>117</v>
      </c>
      <c r="F26" s="250">
        <f>D26*100</f>
        <v>3100</v>
      </c>
      <c r="G26" s="250" t="s">
        <v>112</v>
      </c>
      <c r="H26" s="131"/>
      <c r="I26" s="8"/>
      <c r="J26" s="83"/>
      <c r="K26" s="112">
        <v>0</v>
      </c>
      <c r="L26" s="7">
        <v>0</v>
      </c>
      <c r="M26" s="111">
        <f t="shared" si="0"/>
        <v>0</v>
      </c>
      <c r="N26" s="111">
        <f t="shared" si="1"/>
        <v>0</v>
      </c>
      <c r="O26" s="27">
        <f t="shared" si="2"/>
        <v>0</v>
      </c>
      <c r="P26" s="98"/>
      <c r="Q26" s="98"/>
    </row>
    <row r="27" spans="1:17" ht="15.6" x14ac:dyDescent="0.3">
      <c r="A27" s="132">
        <f t="shared" si="6"/>
        <v>151</v>
      </c>
      <c r="B27" s="168">
        <v>373732</v>
      </c>
      <c r="C27" s="159" t="s">
        <v>204</v>
      </c>
      <c r="D27" s="211">
        <v>10</v>
      </c>
      <c r="E27" s="211" t="s">
        <v>117</v>
      </c>
      <c r="F27" s="250">
        <f>D27*100</f>
        <v>1000</v>
      </c>
      <c r="G27" s="250" t="s">
        <v>228</v>
      </c>
      <c r="H27" s="131"/>
      <c r="I27" s="8"/>
      <c r="J27" s="83"/>
      <c r="K27" s="112">
        <v>0</v>
      </c>
      <c r="L27" s="7">
        <v>0</v>
      </c>
      <c r="M27" s="111">
        <f t="shared" si="0"/>
        <v>0</v>
      </c>
      <c r="N27" s="111">
        <f t="shared" si="1"/>
        <v>0</v>
      </c>
      <c r="O27" s="27">
        <f t="shared" si="2"/>
        <v>0</v>
      </c>
      <c r="P27" s="98"/>
      <c r="Q27" s="98"/>
    </row>
    <row r="28" spans="1:17" ht="15.6" x14ac:dyDescent="0.3">
      <c r="A28" s="132">
        <f t="shared" si="6"/>
        <v>152</v>
      </c>
      <c r="B28" s="169">
        <v>92928</v>
      </c>
      <c r="C28" s="160" t="s">
        <v>131</v>
      </c>
      <c r="D28" s="211">
        <v>3</v>
      </c>
      <c r="E28" s="211" t="s">
        <v>109</v>
      </c>
      <c r="F28" s="250">
        <f>D28*12</f>
        <v>36</v>
      </c>
      <c r="G28" s="250" t="s">
        <v>222</v>
      </c>
      <c r="H28" s="131"/>
      <c r="I28" s="8"/>
      <c r="J28" s="83"/>
      <c r="K28" s="112">
        <v>0</v>
      </c>
      <c r="L28" s="7">
        <v>0</v>
      </c>
      <c r="M28" s="111">
        <f t="shared" si="0"/>
        <v>0</v>
      </c>
      <c r="N28" s="111">
        <f t="shared" si="1"/>
        <v>0</v>
      </c>
      <c r="O28" s="27">
        <f t="shared" si="2"/>
        <v>0</v>
      </c>
      <c r="P28" s="98"/>
      <c r="Q28" s="98"/>
    </row>
    <row r="29" spans="1:17" ht="15.6" x14ac:dyDescent="0.3">
      <c r="A29" s="132">
        <f t="shared" si="6"/>
        <v>153</v>
      </c>
      <c r="B29" s="168">
        <v>290781</v>
      </c>
      <c r="C29" s="159" t="s">
        <v>199</v>
      </c>
      <c r="D29" s="211">
        <v>2</v>
      </c>
      <c r="E29" s="211" t="s">
        <v>109</v>
      </c>
      <c r="F29" s="250">
        <f>D29*8</f>
        <v>16</v>
      </c>
      <c r="G29" s="250" t="s">
        <v>227</v>
      </c>
      <c r="H29" s="131"/>
      <c r="I29" s="8"/>
      <c r="J29" s="83"/>
      <c r="K29" s="112">
        <v>0</v>
      </c>
      <c r="L29" s="7">
        <v>0</v>
      </c>
      <c r="M29" s="111">
        <f t="shared" si="0"/>
        <v>0</v>
      </c>
      <c r="N29" s="111">
        <f t="shared" si="1"/>
        <v>0</v>
      </c>
      <c r="O29" s="27">
        <f t="shared" si="2"/>
        <v>0</v>
      </c>
      <c r="P29" s="98"/>
      <c r="Q29" s="98"/>
    </row>
    <row r="30" spans="1:17" ht="15.6" x14ac:dyDescent="0.3">
      <c r="A30" s="132">
        <f t="shared" si="6"/>
        <v>154</v>
      </c>
      <c r="B30" s="169">
        <v>74932</v>
      </c>
      <c r="C30" s="160" t="s">
        <v>136</v>
      </c>
      <c r="D30" s="211">
        <v>5</v>
      </c>
      <c r="E30" s="152" t="s">
        <v>109</v>
      </c>
      <c r="F30" s="250">
        <f>D30*8</f>
        <v>40</v>
      </c>
      <c r="G30" s="250" t="s">
        <v>112</v>
      </c>
      <c r="H30" s="131"/>
      <c r="I30" s="8"/>
      <c r="J30" s="83"/>
      <c r="K30" s="112">
        <v>0</v>
      </c>
      <c r="L30" s="7">
        <v>0</v>
      </c>
      <c r="M30" s="111">
        <f t="shared" si="0"/>
        <v>0</v>
      </c>
      <c r="N30" s="111">
        <f t="shared" si="1"/>
        <v>0</v>
      </c>
      <c r="O30" s="27">
        <f t="shared" si="2"/>
        <v>0</v>
      </c>
      <c r="P30" s="98"/>
      <c r="Q30" s="98"/>
    </row>
    <row r="31" spans="1:17" ht="15.6" x14ac:dyDescent="0.3">
      <c r="A31" s="132">
        <f t="shared" si="6"/>
        <v>155</v>
      </c>
      <c r="B31" s="169">
        <v>77755</v>
      </c>
      <c r="C31" s="160" t="s">
        <v>137</v>
      </c>
      <c r="D31" s="211">
        <v>2</v>
      </c>
      <c r="E31" s="211" t="s">
        <v>109</v>
      </c>
      <c r="F31" s="250">
        <f>D31*15</f>
        <v>30</v>
      </c>
      <c r="G31" s="250" t="s">
        <v>222</v>
      </c>
      <c r="H31" s="131"/>
      <c r="I31" s="8"/>
      <c r="J31" s="83"/>
      <c r="K31" s="112">
        <v>0</v>
      </c>
      <c r="L31" s="7">
        <v>0</v>
      </c>
      <c r="M31" s="111">
        <f t="shared" si="0"/>
        <v>0</v>
      </c>
      <c r="N31" s="111">
        <f t="shared" si="1"/>
        <v>0</v>
      </c>
      <c r="O31" s="27">
        <f t="shared" si="2"/>
        <v>0</v>
      </c>
      <c r="P31" s="98"/>
      <c r="Q31" s="98"/>
    </row>
    <row r="32" spans="1:17" ht="15.6" x14ac:dyDescent="0.3">
      <c r="A32" s="132">
        <f t="shared" si="6"/>
        <v>156</v>
      </c>
      <c r="B32" s="169">
        <v>403137</v>
      </c>
      <c r="C32" s="209" t="s">
        <v>224</v>
      </c>
      <c r="D32" s="152">
        <v>10</v>
      </c>
      <c r="E32" s="152" t="s">
        <v>118</v>
      </c>
      <c r="F32" s="250">
        <f>D32*3*4</f>
        <v>120</v>
      </c>
      <c r="G32" s="250" t="s">
        <v>225</v>
      </c>
      <c r="H32" s="131"/>
      <c r="I32" s="8"/>
      <c r="J32" s="83"/>
      <c r="K32" s="112">
        <v>0</v>
      </c>
      <c r="L32" s="7">
        <v>0</v>
      </c>
      <c r="M32" s="111">
        <f t="shared" si="0"/>
        <v>0</v>
      </c>
      <c r="N32" s="111">
        <f t="shared" si="1"/>
        <v>0</v>
      </c>
      <c r="O32" s="27">
        <f t="shared" si="2"/>
        <v>0</v>
      </c>
      <c r="P32" s="98"/>
      <c r="Q32" s="98"/>
    </row>
    <row r="33" spans="1:17" s="46" customFormat="1" ht="15.6" x14ac:dyDescent="0.3">
      <c r="A33" s="132">
        <f t="shared" si="6"/>
        <v>157</v>
      </c>
      <c r="B33" s="168">
        <v>392765</v>
      </c>
      <c r="C33" s="159" t="s">
        <v>130</v>
      </c>
      <c r="D33" s="211">
        <v>3</v>
      </c>
      <c r="E33" s="211" t="s">
        <v>109</v>
      </c>
      <c r="F33" s="250">
        <f>D33*6</f>
        <v>18</v>
      </c>
      <c r="G33" s="250" t="s">
        <v>222</v>
      </c>
      <c r="H33" s="131"/>
      <c r="I33" s="8"/>
      <c r="J33" s="83"/>
      <c r="K33" s="112">
        <v>0</v>
      </c>
      <c r="L33" s="7">
        <v>0</v>
      </c>
      <c r="M33" s="111">
        <f t="shared" si="0"/>
        <v>0</v>
      </c>
      <c r="N33" s="111">
        <f t="shared" si="1"/>
        <v>0</v>
      </c>
      <c r="O33" s="27">
        <f t="shared" si="2"/>
        <v>0</v>
      </c>
      <c r="P33" s="98"/>
      <c r="Q33" s="98"/>
    </row>
    <row r="34" spans="1:17" ht="15.6" x14ac:dyDescent="0.3">
      <c r="A34" s="132">
        <f t="shared" si="6"/>
        <v>158</v>
      </c>
      <c r="B34" s="169">
        <v>402213</v>
      </c>
      <c r="C34" s="160" t="s">
        <v>121</v>
      </c>
      <c r="D34" s="152">
        <v>30</v>
      </c>
      <c r="E34" s="152" t="s">
        <v>109</v>
      </c>
      <c r="F34" s="250">
        <f>D34*12</f>
        <v>360</v>
      </c>
      <c r="G34" s="250" t="s">
        <v>112</v>
      </c>
      <c r="H34" s="131"/>
      <c r="I34" s="8"/>
      <c r="J34" s="83"/>
      <c r="K34" s="112">
        <v>0</v>
      </c>
      <c r="L34" s="7">
        <v>0</v>
      </c>
      <c r="M34" s="111">
        <f t="shared" ref="M34:M65" si="7">K34+K34*L34</f>
        <v>0</v>
      </c>
      <c r="N34" s="111">
        <f t="shared" ref="N34:N65" si="8">J34*M34</f>
        <v>0</v>
      </c>
      <c r="O34" s="27">
        <f t="shared" ref="O34:O65" si="9">M34*F34</f>
        <v>0</v>
      </c>
      <c r="P34" s="98"/>
      <c r="Q34" s="98"/>
    </row>
    <row r="35" spans="1:17" ht="15.6" x14ac:dyDescent="0.3">
      <c r="A35" s="132">
        <f t="shared" si="6"/>
        <v>159</v>
      </c>
      <c r="B35" s="168">
        <v>403461</v>
      </c>
      <c r="C35" s="159" t="s">
        <v>119</v>
      </c>
      <c r="D35" s="152">
        <v>3</v>
      </c>
      <c r="E35" s="152" t="s">
        <v>109</v>
      </c>
      <c r="F35" s="250">
        <f>D35*24</f>
        <v>72</v>
      </c>
      <c r="G35" s="250" t="s">
        <v>222</v>
      </c>
      <c r="H35" s="131"/>
      <c r="I35" s="8"/>
      <c r="J35" s="83"/>
      <c r="K35" s="112">
        <v>0</v>
      </c>
      <c r="L35" s="7">
        <v>0</v>
      </c>
      <c r="M35" s="111">
        <f t="shared" si="7"/>
        <v>0</v>
      </c>
      <c r="N35" s="111">
        <f t="shared" si="8"/>
        <v>0</v>
      </c>
      <c r="O35" s="27">
        <f t="shared" si="9"/>
        <v>0</v>
      </c>
      <c r="P35" s="98"/>
      <c r="Q35" s="98"/>
    </row>
    <row r="36" spans="1:17" ht="15.6" x14ac:dyDescent="0.3">
      <c r="A36" s="132">
        <f t="shared" si="6"/>
        <v>160</v>
      </c>
      <c r="B36" s="169">
        <v>385737</v>
      </c>
      <c r="C36" s="209" t="s">
        <v>201</v>
      </c>
      <c r="D36" s="211">
        <v>3</v>
      </c>
      <c r="E36" s="211" t="s">
        <v>109</v>
      </c>
      <c r="F36" s="250">
        <f>D36*4</f>
        <v>12</v>
      </c>
      <c r="G36" s="250" t="s">
        <v>228</v>
      </c>
      <c r="H36" s="131"/>
      <c r="I36" s="8"/>
      <c r="J36" s="83"/>
      <c r="K36" s="112">
        <v>0</v>
      </c>
      <c r="L36" s="7">
        <v>0</v>
      </c>
      <c r="M36" s="111">
        <f t="shared" si="7"/>
        <v>0</v>
      </c>
      <c r="N36" s="111">
        <f t="shared" si="8"/>
        <v>0</v>
      </c>
      <c r="O36" s="27">
        <f t="shared" si="9"/>
        <v>0</v>
      </c>
      <c r="P36" s="98"/>
      <c r="Q36" s="98"/>
    </row>
    <row r="37" spans="1:17" ht="15.6" x14ac:dyDescent="0.3">
      <c r="A37" s="132">
        <f t="shared" si="6"/>
        <v>161</v>
      </c>
      <c r="B37" s="169">
        <v>365268</v>
      </c>
      <c r="C37" s="209" t="s">
        <v>120</v>
      </c>
      <c r="D37" s="152">
        <v>9</v>
      </c>
      <c r="E37" s="152" t="s">
        <v>109</v>
      </c>
      <c r="F37" s="250">
        <f>D37*6</f>
        <v>54</v>
      </c>
      <c r="G37" s="250" t="s">
        <v>112</v>
      </c>
      <c r="H37" s="131"/>
      <c r="I37" s="8"/>
      <c r="J37" s="83"/>
      <c r="K37" s="112">
        <v>0</v>
      </c>
      <c r="L37" s="7">
        <v>0</v>
      </c>
      <c r="M37" s="111">
        <f t="shared" si="7"/>
        <v>0</v>
      </c>
      <c r="N37" s="111">
        <f t="shared" si="8"/>
        <v>0</v>
      </c>
      <c r="O37" s="27">
        <f t="shared" si="9"/>
        <v>0</v>
      </c>
      <c r="P37" s="98"/>
      <c r="Q37" s="98"/>
    </row>
    <row r="38" spans="1:17" ht="15.6" x14ac:dyDescent="0.3">
      <c r="A38" s="132">
        <f t="shared" si="6"/>
        <v>162</v>
      </c>
      <c r="B38" s="284">
        <v>84064</v>
      </c>
      <c r="C38" s="208" t="s">
        <v>360</v>
      </c>
      <c r="D38" s="211">
        <v>2</v>
      </c>
      <c r="E38" s="211" t="s">
        <v>109</v>
      </c>
      <c r="F38" s="250">
        <f>D38*24</f>
        <v>48</v>
      </c>
      <c r="G38" s="250" t="s">
        <v>222</v>
      </c>
      <c r="H38" s="121"/>
      <c r="I38" s="98"/>
      <c r="J38" s="157"/>
      <c r="K38" s="112">
        <v>0</v>
      </c>
      <c r="L38" s="7">
        <v>0</v>
      </c>
      <c r="M38" s="111">
        <f t="shared" si="7"/>
        <v>0</v>
      </c>
      <c r="N38" s="111">
        <f t="shared" si="8"/>
        <v>0</v>
      </c>
      <c r="O38" s="27">
        <f t="shared" si="9"/>
        <v>0</v>
      </c>
      <c r="P38" s="98"/>
      <c r="Q38" s="98"/>
    </row>
    <row r="39" spans="1:17" ht="15.6" x14ac:dyDescent="0.3">
      <c r="A39" s="132">
        <f t="shared" si="6"/>
        <v>163</v>
      </c>
      <c r="B39" s="285">
        <v>70412</v>
      </c>
      <c r="C39" s="341" t="s">
        <v>134</v>
      </c>
      <c r="D39" s="211">
        <v>5</v>
      </c>
      <c r="E39" s="211" t="s">
        <v>135</v>
      </c>
      <c r="F39" s="250">
        <v>5</v>
      </c>
      <c r="G39" s="250" t="s">
        <v>112</v>
      </c>
      <c r="H39" s="131"/>
      <c r="I39" s="8"/>
      <c r="J39" s="83"/>
      <c r="K39" s="112">
        <v>0</v>
      </c>
      <c r="L39" s="7">
        <v>0</v>
      </c>
      <c r="M39" s="111">
        <f t="shared" si="7"/>
        <v>0</v>
      </c>
      <c r="N39" s="111">
        <f t="shared" si="8"/>
        <v>0</v>
      </c>
      <c r="O39" s="27">
        <f t="shared" si="9"/>
        <v>0</v>
      </c>
      <c r="P39" s="98"/>
      <c r="Q39" s="98"/>
    </row>
    <row r="40" spans="1:17" ht="15.6" x14ac:dyDescent="0.3">
      <c r="A40" s="132">
        <f t="shared" si="6"/>
        <v>164</v>
      </c>
      <c r="B40" s="285">
        <v>108912</v>
      </c>
      <c r="C40" s="208" t="s">
        <v>195</v>
      </c>
      <c r="D40" s="211">
        <v>4</v>
      </c>
      <c r="E40" s="211" t="s">
        <v>109</v>
      </c>
      <c r="F40" s="250">
        <f>12*4</f>
        <v>48</v>
      </c>
      <c r="G40" s="250" t="s">
        <v>227</v>
      </c>
      <c r="H40" s="131"/>
      <c r="I40" s="8"/>
      <c r="J40" s="83"/>
      <c r="K40" s="112">
        <v>0</v>
      </c>
      <c r="L40" s="7">
        <v>0</v>
      </c>
      <c r="M40" s="111">
        <f t="shared" si="7"/>
        <v>0</v>
      </c>
      <c r="N40" s="111">
        <f t="shared" si="8"/>
        <v>0</v>
      </c>
      <c r="O40" s="27">
        <f t="shared" si="9"/>
        <v>0</v>
      </c>
      <c r="P40" s="98"/>
      <c r="Q40" s="98"/>
    </row>
    <row r="41" spans="1:17" s="46" customFormat="1" ht="15.6" x14ac:dyDescent="0.3">
      <c r="A41" s="132">
        <f t="shared" si="6"/>
        <v>165</v>
      </c>
      <c r="B41" s="169">
        <v>283841</v>
      </c>
      <c r="C41" s="209" t="s">
        <v>174</v>
      </c>
      <c r="D41" s="152">
        <v>6</v>
      </c>
      <c r="E41" s="152" t="s">
        <v>109</v>
      </c>
      <c r="F41" s="249">
        <f>6*6</f>
        <v>36</v>
      </c>
      <c r="G41" s="249" t="s">
        <v>222</v>
      </c>
      <c r="H41" s="131"/>
      <c r="I41" s="8"/>
      <c r="J41" s="83"/>
      <c r="K41" s="112">
        <v>0</v>
      </c>
      <c r="L41" s="7">
        <v>0</v>
      </c>
      <c r="M41" s="111">
        <f t="shared" si="7"/>
        <v>0</v>
      </c>
      <c r="N41" s="111">
        <f t="shared" si="8"/>
        <v>0</v>
      </c>
      <c r="O41" s="27">
        <f t="shared" si="9"/>
        <v>0</v>
      </c>
      <c r="P41" s="8"/>
      <c r="Q41" s="98"/>
    </row>
    <row r="42" spans="1:17" s="46" customFormat="1" ht="15.6" x14ac:dyDescent="0.3">
      <c r="A42" s="132">
        <f t="shared" si="6"/>
        <v>166</v>
      </c>
      <c r="B42" s="317">
        <v>400111</v>
      </c>
      <c r="C42" s="220" t="s">
        <v>190</v>
      </c>
      <c r="D42" s="211">
        <v>3</v>
      </c>
      <c r="E42" s="211" t="s">
        <v>109</v>
      </c>
      <c r="F42" s="250">
        <f>D42*6</f>
        <v>18</v>
      </c>
      <c r="G42" s="250" t="s">
        <v>222</v>
      </c>
      <c r="H42" s="131"/>
      <c r="I42" s="8"/>
      <c r="J42" s="83"/>
      <c r="K42" s="112">
        <v>0</v>
      </c>
      <c r="L42" s="7">
        <v>0</v>
      </c>
      <c r="M42" s="111">
        <f t="shared" si="7"/>
        <v>0</v>
      </c>
      <c r="N42" s="111">
        <f t="shared" si="8"/>
        <v>0</v>
      </c>
      <c r="O42" s="27">
        <f t="shared" si="9"/>
        <v>0</v>
      </c>
      <c r="P42" s="98"/>
      <c r="Q42" s="98"/>
    </row>
    <row r="43" spans="1:17" s="46" customFormat="1" ht="15.6" x14ac:dyDescent="0.3">
      <c r="A43" s="132">
        <f t="shared" si="6"/>
        <v>167</v>
      </c>
      <c r="B43" s="165">
        <v>363432</v>
      </c>
      <c r="C43" s="216" t="s">
        <v>175</v>
      </c>
      <c r="D43" s="152">
        <v>63</v>
      </c>
      <c r="E43" s="152" t="s">
        <v>109</v>
      </c>
      <c r="F43" s="249">
        <f>6*63</f>
        <v>378</v>
      </c>
      <c r="G43" s="249" t="s">
        <v>222</v>
      </c>
      <c r="H43" s="131"/>
      <c r="I43" s="8"/>
      <c r="J43" s="83"/>
      <c r="K43" s="112">
        <v>0</v>
      </c>
      <c r="L43" s="7">
        <v>0</v>
      </c>
      <c r="M43" s="111">
        <f t="shared" si="7"/>
        <v>0</v>
      </c>
      <c r="N43" s="111">
        <f t="shared" si="8"/>
        <v>0</v>
      </c>
      <c r="O43" s="27">
        <f t="shared" si="9"/>
        <v>0</v>
      </c>
      <c r="P43" s="8"/>
      <c r="Q43" s="98"/>
    </row>
    <row r="44" spans="1:17" ht="15.6" x14ac:dyDescent="0.3">
      <c r="A44" s="132">
        <f t="shared" si="6"/>
        <v>168</v>
      </c>
      <c r="B44" s="286">
        <v>33297</v>
      </c>
      <c r="C44" s="288" t="s">
        <v>172</v>
      </c>
      <c r="D44" s="256">
        <v>52</v>
      </c>
      <c r="E44" s="256" t="s">
        <v>109</v>
      </c>
      <c r="F44" s="249">
        <f>52*6</f>
        <v>312</v>
      </c>
      <c r="G44" s="249" t="s">
        <v>222</v>
      </c>
      <c r="H44" s="131"/>
      <c r="I44" s="8"/>
      <c r="J44" s="83"/>
      <c r="K44" s="112">
        <v>0</v>
      </c>
      <c r="L44" s="7">
        <v>0</v>
      </c>
      <c r="M44" s="111">
        <f t="shared" si="7"/>
        <v>0</v>
      </c>
      <c r="N44" s="111">
        <f t="shared" si="8"/>
        <v>0</v>
      </c>
      <c r="O44" s="27">
        <f t="shared" si="9"/>
        <v>0</v>
      </c>
      <c r="P44" s="8"/>
      <c r="Q44" s="98"/>
    </row>
    <row r="45" spans="1:17" ht="15.6" x14ac:dyDescent="0.3">
      <c r="A45" s="132">
        <f t="shared" si="6"/>
        <v>169</v>
      </c>
      <c r="B45" s="168">
        <v>367325</v>
      </c>
      <c r="C45" s="208" t="s">
        <v>173</v>
      </c>
      <c r="D45" s="152">
        <v>4</v>
      </c>
      <c r="E45" s="152" t="s">
        <v>109</v>
      </c>
      <c r="F45" s="249">
        <f>4*6</f>
        <v>24</v>
      </c>
      <c r="G45" s="249" t="s">
        <v>222</v>
      </c>
      <c r="H45" s="131"/>
      <c r="I45" s="8"/>
      <c r="J45" s="83"/>
      <c r="K45" s="112">
        <v>0</v>
      </c>
      <c r="L45" s="7">
        <v>0</v>
      </c>
      <c r="M45" s="111">
        <f t="shared" si="7"/>
        <v>0</v>
      </c>
      <c r="N45" s="111">
        <f t="shared" si="8"/>
        <v>0</v>
      </c>
      <c r="O45" s="27">
        <f t="shared" si="9"/>
        <v>0</v>
      </c>
      <c r="P45" s="8"/>
      <c r="Q45" s="98"/>
    </row>
    <row r="46" spans="1:17" ht="15.6" x14ac:dyDescent="0.3">
      <c r="A46" s="132">
        <f t="shared" si="6"/>
        <v>170</v>
      </c>
      <c r="B46" s="168">
        <v>392382</v>
      </c>
      <c r="C46" s="208" t="s">
        <v>206</v>
      </c>
      <c r="D46" s="211">
        <v>5</v>
      </c>
      <c r="E46" s="211" t="s">
        <v>109</v>
      </c>
      <c r="F46" s="250">
        <f>D46*6</f>
        <v>30</v>
      </c>
      <c r="G46" s="250" t="s">
        <v>227</v>
      </c>
      <c r="H46" s="121"/>
      <c r="I46" s="8"/>
      <c r="J46" s="83"/>
      <c r="K46" s="112">
        <v>0</v>
      </c>
      <c r="L46" s="7">
        <v>0</v>
      </c>
      <c r="M46" s="111">
        <f t="shared" si="7"/>
        <v>0</v>
      </c>
      <c r="N46" s="111">
        <f t="shared" si="8"/>
        <v>0</v>
      </c>
      <c r="O46" s="27">
        <f t="shared" si="9"/>
        <v>0</v>
      </c>
      <c r="P46" s="98"/>
      <c r="Q46" s="98"/>
    </row>
    <row r="47" spans="1:17" ht="15.6" x14ac:dyDescent="0.3">
      <c r="A47" s="132">
        <f t="shared" si="6"/>
        <v>171</v>
      </c>
      <c r="B47" s="168">
        <v>318249</v>
      </c>
      <c r="C47" s="208" t="s">
        <v>200</v>
      </c>
      <c r="D47" s="211">
        <v>5</v>
      </c>
      <c r="E47" s="211" t="s">
        <v>109</v>
      </c>
      <c r="F47" s="250">
        <f>D47*20*190</f>
        <v>19000</v>
      </c>
      <c r="G47" s="250" t="s">
        <v>222</v>
      </c>
      <c r="H47" s="131"/>
      <c r="I47" s="8"/>
      <c r="J47" s="83"/>
      <c r="K47" s="112">
        <v>0</v>
      </c>
      <c r="L47" s="7">
        <v>0</v>
      </c>
      <c r="M47" s="111">
        <f t="shared" si="7"/>
        <v>0</v>
      </c>
      <c r="N47" s="111">
        <f t="shared" si="8"/>
        <v>0</v>
      </c>
      <c r="O47" s="27">
        <f t="shared" si="9"/>
        <v>0</v>
      </c>
      <c r="P47" s="98"/>
      <c r="Q47" s="98"/>
    </row>
    <row r="48" spans="1:17" ht="15.6" x14ac:dyDescent="0.3">
      <c r="A48" s="132">
        <f t="shared" si="6"/>
        <v>172</v>
      </c>
      <c r="B48" s="218">
        <v>350241</v>
      </c>
      <c r="C48" s="194" t="s">
        <v>203</v>
      </c>
      <c r="D48" s="214">
        <v>24</v>
      </c>
      <c r="E48" s="214" t="s">
        <v>109</v>
      </c>
      <c r="F48" s="250">
        <f>D48*12*410</f>
        <v>118080</v>
      </c>
      <c r="G48" s="250" t="s">
        <v>219</v>
      </c>
      <c r="H48" s="131"/>
      <c r="I48" s="8"/>
      <c r="J48" s="83"/>
      <c r="K48" s="112">
        <v>0</v>
      </c>
      <c r="L48" s="7">
        <v>0</v>
      </c>
      <c r="M48" s="111">
        <f t="shared" si="7"/>
        <v>0</v>
      </c>
      <c r="N48" s="111">
        <f t="shared" si="8"/>
        <v>0</v>
      </c>
      <c r="O48" s="27">
        <f t="shared" si="9"/>
        <v>0</v>
      </c>
      <c r="P48" s="98"/>
      <c r="Q48" s="98"/>
    </row>
    <row r="49" spans="1:17" ht="15.6" x14ac:dyDescent="0.3">
      <c r="A49" s="132">
        <f t="shared" si="6"/>
        <v>173</v>
      </c>
      <c r="B49" s="165">
        <v>110581</v>
      </c>
      <c r="C49" s="212" t="s">
        <v>367</v>
      </c>
      <c r="D49" s="211">
        <v>6</v>
      </c>
      <c r="E49" s="211" t="s">
        <v>277</v>
      </c>
      <c r="F49" s="250">
        <f>D49*50</f>
        <v>300</v>
      </c>
      <c r="G49" s="250" t="s">
        <v>227</v>
      </c>
      <c r="H49" s="131"/>
      <c r="I49" s="8"/>
      <c r="J49" s="83"/>
      <c r="K49" s="112">
        <v>0</v>
      </c>
      <c r="L49" s="7">
        <v>0</v>
      </c>
      <c r="M49" s="111">
        <f t="shared" si="7"/>
        <v>0</v>
      </c>
      <c r="N49" s="111">
        <f t="shared" si="8"/>
        <v>0</v>
      </c>
      <c r="O49" s="27">
        <f t="shared" si="9"/>
        <v>0</v>
      </c>
      <c r="P49" s="98"/>
      <c r="Q49" s="98"/>
    </row>
    <row r="50" spans="1:17" ht="15.6" x14ac:dyDescent="0.3">
      <c r="A50" s="132">
        <f t="shared" si="6"/>
        <v>174</v>
      </c>
      <c r="B50" s="166">
        <v>358164</v>
      </c>
      <c r="C50" s="216" t="s">
        <v>364</v>
      </c>
      <c r="D50" s="211">
        <v>3</v>
      </c>
      <c r="E50" s="211" t="s">
        <v>109</v>
      </c>
      <c r="F50" s="250">
        <f>D50*6</f>
        <v>18</v>
      </c>
      <c r="G50" s="250" t="s">
        <v>222</v>
      </c>
      <c r="H50" s="121"/>
      <c r="I50" s="98"/>
      <c r="J50" s="157"/>
      <c r="K50" s="112">
        <v>0</v>
      </c>
      <c r="L50" s="7">
        <v>0</v>
      </c>
      <c r="M50" s="111">
        <f t="shared" si="7"/>
        <v>0</v>
      </c>
      <c r="N50" s="111">
        <f t="shared" si="8"/>
        <v>0</v>
      </c>
      <c r="O50" s="27">
        <f t="shared" si="9"/>
        <v>0</v>
      </c>
      <c r="P50" s="98"/>
      <c r="Q50" s="98"/>
    </row>
    <row r="51" spans="1:17" ht="15.6" x14ac:dyDescent="0.3">
      <c r="A51" s="132">
        <f t="shared" si="6"/>
        <v>175</v>
      </c>
      <c r="B51" s="308">
        <v>387164</v>
      </c>
      <c r="C51" s="309" t="s">
        <v>205</v>
      </c>
      <c r="D51" s="217">
        <v>6</v>
      </c>
      <c r="E51" s="217" t="s">
        <v>109</v>
      </c>
      <c r="F51" s="250">
        <f>D51*12</f>
        <v>72</v>
      </c>
      <c r="G51" s="250" t="s">
        <v>227</v>
      </c>
      <c r="H51" s="131"/>
      <c r="I51" s="289"/>
      <c r="J51" s="312"/>
      <c r="K51" s="112">
        <v>0</v>
      </c>
      <c r="L51" s="7">
        <v>0</v>
      </c>
      <c r="M51" s="111">
        <f t="shared" si="7"/>
        <v>0</v>
      </c>
      <c r="N51" s="111">
        <f t="shared" si="8"/>
        <v>0</v>
      </c>
      <c r="O51" s="27">
        <f t="shared" si="9"/>
        <v>0</v>
      </c>
      <c r="P51" s="290"/>
      <c r="Q51" s="98"/>
    </row>
    <row r="52" spans="1:17" ht="15.6" x14ac:dyDescent="0.3">
      <c r="A52" s="132">
        <f t="shared" si="6"/>
        <v>176</v>
      </c>
      <c r="B52" s="189">
        <v>402363</v>
      </c>
      <c r="C52" s="212" t="s">
        <v>283</v>
      </c>
      <c r="D52" s="211">
        <v>6</v>
      </c>
      <c r="E52" s="152" t="s">
        <v>109</v>
      </c>
      <c r="F52" s="250">
        <f>D52*3*4</f>
        <v>72</v>
      </c>
      <c r="G52" s="250" t="s">
        <v>220</v>
      </c>
      <c r="H52" s="131"/>
      <c r="I52" s="8"/>
      <c r="J52" s="83"/>
      <c r="K52" s="112">
        <v>0</v>
      </c>
      <c r="L52" s="7">
        <v>0</v>
      </c>
      <c r="M52" s="111">
        <f t="shared" si="7"/>
        <v>0</v>
      </c>
      <c r="N52" s="111">
        <f t="shared" si="8"/>
        <v>0</v>
      </c>
      <c r="O52" s="27">
        <f t="shared" si="9"/>
        <v>0</v>
      </c>
      <c r="P52" s="98"/>
      <c r="Q52" s="98"/>
    </row>
    <row r="53" spans="1:17" s="46" customFormat="1" ht="15.6" x14ac:dyDescent="0.3">
      <c r="A53" s="132">
        <f t="shared" si="6"/>
        <v>177</v>
      </c>
      <c r="B53" s="169">
        <v>284910</v>
      </c>
      <c r="C53" s="160" t="s">
        <v>198</v>
      </c>
      <c r="D53" s="211">
        <v>3</v>
      </c>
      <c r="E53" s="211" t="s">
        <v>109</v>
      </c>
      <c r="F53" s="250">
        <f>D53*6</f>
        <v>18</v>
      </c>
      <c r="G53" s="250" t="s">
        <v>227</v>
      </c>
      <c r="H53" s="131"/>
      <c r="I53" s="8"/>
      <c r="J53" s="83"/>
      <c r="K53" s="112">
        <v>0</v>
      </c>
      <c r="L53" s="7">
        <v>0</v>
      </c>
      <c r="M53" s="111">
        <f t="shared" si="7"/>
        <v>0</v>
      </c>
      <c r="N53" s="111">
        <f t="shared" si="8"/>
        <v>0</v>
      </c>
      <c r="O53" s="27">
        <f t="shared" si="9"/>
        <v>0</v>
      </c>
      <c r="P53" s="98"/>
      <c r="Q53" s="98"/>
    </row>
    <row r="54" spans="1:17" ht="15.6" x14ac:dyDescent="0.3">
      <c r="A54" s="132">
        <f t="shared" si="6"/>
        <v>178</v>
      </c>
      <c r="B54" s="165">
        <v>402410</v>
      </c>
      <c r="C54" s="216" t="s">
        <v>144</v>
      </c>
      <c r="D54" s="211">
        <v>6</v>
      </c>
      <c r="E54" s="211" t="s">
        <v>135</v>
      </c>
      <c r="F54" s="250">
        <f>D54</f>
        <v>6</v>
      </c>
      <c r="G54" s="250" t="s">
        <v>227</v>
      </c>
      <c r="H54" s="131"/>
      <c r="I54" s="8"/>
      <c r="J54" s="83"/>
      <c r="K54" s="112">
        <v>0</v>
      </c>
      <c r="L54" s="7">
        <v>0</v>
      </c>
      <c r="M54" s="111">
        <f t="shared" si="7"/>
        <v>0</v>
      </c>
      <c r="N54" s="111">
        <f t="shared" si="8"/>
        <v>0</v>
      </c>
      <c r="O54" s="27">
        <f t="shared" si="9"/>
        <v>0</v>
      </c>
      <c r="P54" s="98"/>
      <c r="Q54" s="98"/>
    </row>
    <row r="55" spans="1:17" ht="15.6" x14ac:dyDescent="0.3">
      <c r="A55" s="132">
        <f t="shared" ref="A55:A79" si="10">A54+1</f>
        <v>179</v>
      </c>
      <c r="B55" s="165">
        <v>340312</v>
      </c>
      <c r="C55" s="216" t="s">
        <v>279</v>
      </c>
      <c r="D55" s="152">
        <v>2</v>
      </c>
      <c r="E55" s="152" t="s">
        <v>114</v>
      </c>
      <c r="F55" s="249">
        <f>D55*336*144</f>
        <v>96768</v>
      </c>
      <c r="G55" s="249" t="s">
        <v>219</v>
      </c>
      <c r="H55" s="131"/>
      <c r="I55" s="8"/>
      <c r="J55" s="83"/>
      <c r="K55" s="112">
        <v>0</v>
      </c>
      <c r="L55" s="7">
        <v>0</v>
      </c>
      <c r="M55" s="111">
        <f t="shared" si="7"/>
        <v>0</v>
      </c>
      <c r="N55" s="111">
        <f t="shared" si="8"/>
        <v>0</v>
      </c>
      <c r="O55" s="27">
        <f t="shared" si="9"/>
        <v>0</v>
      </c>
      <c r="P55" s="8"/>
      <c r="Q55" s="98"/>
    </row>
    <row r="56" spans="1:17" ht="15.6" x14ac:dyDescent="0.3">
      <c r="A56" s="132">
        <f t="shared" si="10"/>
        <v>180</v>
      </c>
      <c r="B56" s="165">
        <v>340312</v>
      </c>
      <c r="C56" s="216" t="s">
        <v>179</v>
      </c>
      <c r="D56" s="152">
        <v>185</v>
      </c>
      <c r="E56" s="152" t="s">
        <v>109</v>
      </c>
      <c r="F56" s="249">
        <f>21*185*144</f>
        <v>559440</v>
      </c>
      <c r="G56" s="249" t="s">
        <v>219</v>
      </c>
      <c r="H56" s="131"/>
      <c r="I56" s="8"/>
      <c r="J56" s="83"/>
      <c r="K56" s="112">
        <v>0</v>
      </c>
      <c r="L56" s="7">
        <v>0</v>
      </c>
      <c r="M56" s="111">
        <f t="shared" si="7"/>
        <v>0</v>
      </c>
      <c r="N56" s="111">
        <f t="shared" si="8"/>
        <v>0</v>
      </c>
      <c r="O56" s="27">
        <f t="shared" si="9"/>
        <v>0</v>
      </c>
      <c r="P56" s="8"/>
      <c r="Q56" s="98"/>
    </row>
    <row r="57" spans="1:17" ht="15.6" x14ac:dyDescent="0.3">
      <c r="A57" s="132">
        <f t="shared" si="10"/>
        <v>181</v>
      </c>
      <c r="B57" s="189">
        <v>280472</v>
      </c>
      <c r="C57" s="212" t="s">
        <v>189</v>
      </c>
      <c r="D57" s="152">
        <v>16</v>
      </c>
      <c r="E57" s="152" t="s">
        <v>133</v>
      </c>
      <c r="F57" s="250">
        <f>D57*12*100</f>
        <v>19200</v>
      </c>
      <c r="G57" s="250" t="s">
        <v>217</v>
      </c>
      <c r="H57" s="131"/>
      <c r="I57" s="8"/>
      <c r="J57" s="83"/>
      <c r="K57" s="112">
        <v>0</v>
      </c>
      <c r="L57" s="7">
        <v>0</v>
      </c>
      <c r="M57" s="111">
        <f t="shared" si="7"/>
        <v>0</v>
      </c>
      <c r="N57" s="111">
        <f t="shared" si="8"/>
        <v>0</v>
      </c>
      <c r="O57" s="27">
        <f t="shared" si="9"/>
        <v>0</v>
      </c>
      <c r="P57" s="98"/>
      <c r="Q57" s="98"/>
    </row>
    <row r="58" spans="1:17" ht="15.6" x14ac:dyDescent="0.3">
      <c r="A58" s="132">
        <f t="shared" si="10"/>
        <v>182</v>
      </c>
      <c r="B58" s="189">
        <v>69288</v>
      </c>
      <c r="C58" s="212" t="s">
        <v>196</v>
      </c>
      <c r="D58" s="152">
        <v>44</v>
      </c>
      <c r="E58" s="152" t="s">
        <v>109</v>
      </c>
      <c r="F58" s="249">
        <f>44*12*116</f>
        <v>61248</v>
      </c>
      <c r="G58" s="249" t="s">
        <v>217</v>
      </c>
      <c r="H58" s="131"/>
      <c r="I58" s="8"/>
      <c r="J58" s="83"/>
      <c r="K58" s="112">
        <v>0</v>
      </c>
      <c r="L58" s="7">
        <v>0</v>
      </c>
      <c r="M58" s="111">
        <f t="shared" si="7"/>
        <v>0</v>
      </c>
      <c r="N58" s="111">
        <f t="shared" si="8"/>
        <v>0</v>
      </c>
      <c r="O58" s="27">
        <f t="shared" si="9"/>
        <v>0</v>
      </c>
      <c r="P58" s="8"/>
      <c r="Q58" s="98"/>
    </row>
    <row r="59" spans="1:17" ht="15.6" x14ac:dyDescent="0.3">
      <c r="A59" s="132">
        <f t="shared" si="10"/>
        <v>183</v>
      </c>
      <c r="B59" s="189">
        <v>280470</v>
      </c>
      <c r="C59" s="212" t="s">
        <v>181</v>
      </c>
      <c r="D59" s="152">
        <v>205</v>
      </c>
      <c r="E59" s="152" t="s">
        <v>109</v>
      </c>
      <c r="F59" s="249">
        <f>205*12*110</f>
        <v>270600</v>
      </c>
      <c r="G59" s="249" t="s">
        <v>217</v>
      </c>
      <c r="H59" s="131"/>
      <c r="I59" s="8"/>
      <c r="J59" s="83"/>
      <c r="K59" s="112">
        <v>0</v>
      </c>
      <c r="L59" s="7">
        <v>0</v>
      </c>
      <c r="M59" s="111">
        <f t="shared" si="7"/>
        <v>0</v>
      </c>
      <c r="N59" s="111">
        <f t="shared" si="8"/>
        <v>0</v>
      </c>
      <c r="O59" s="27">
        <f t="shared" si="9"/>
        <v>0</v>
      </c>
      <c r="P59" s="8"/>
      <c r="Q59" s="98"/>
    </row>
    <row r="60" spans="1:17" ht="15.6" x14ac:dyDescent="0.3">
      <c r="A60" s="132">
        <f t="shared" si="10"/>
        <v>184</v>
      </c>
      <c r="B60" s="166">
        <v>335810</v>
      </c>
      <c r="C60" s="216" t="s">
        <v>365</v>
      </c>
      <c r="D60" s="211">
        <v>3</v>
      </c>
      <c r="E60" s="211" t="s">
        <v>109</v>
      </c>
      <c r="F60" s="250">
        <f>D60*6</f>
        <v>18</v>
      </c>
      <c r="G60" s="250" t="s">
        <v>222</v>
      </c>
      <c r="H60" s="121"/>
      <c r="I60" s="98"/>
      <c r="J60" s="157"/>
      <c r="K60" s="112">
        <v>0</v>
      </c>
      <c r="L60" s="7">
        <v>0</v>
      </c>
      <c r="M60" s="111">
        <f t="shared" si="7"/>
        <v>0</v>
      </c>
      <c r="N60" s="111">
        <f t="shared" si="8"/>
        <v>0</v>
      </c>
      <c r="O60" s="27">
        <f t="shared" si="9"/>
        <v>0</v>
      </c>
      <c r="P60" s="98"/>
      <c r="Q60" s="98"/>
    </row>
    <row r="61" spans="1:17" ht="15.6" x14ac:dyDescent="0.3">
      <c r="A61" s="132">
        <f t="shared" si="10"/>
        <v>185</v>
      </c>
      <c r="B61" s="189">
        <v>216429</v>
      </c>
      <c r="C61" s="212" t="s">
        <v>192</v>
      </c>
      <c r="D61" s="211">
        <v>5</v>
      </c>
      <c r="E61" s="211" t="s">
        <v>132</v>
      </c>
      <c r="F61" s="250">
        <f>D61*6</f>
        <v>30</v>
      </c>
      <c r="G61" s="250" t="s">
        <v>222</v>
      </c>
      <c r="H61" s="131"/>
      <c r="I61" s="8"/>
      <c r="J61" s="83"/>
      <c r="K61" s="112">
        <v>0</v>
      </c>
      <c r="L61" s="7">
        <v>0</v>
      </c>
      <c r="M61" s="111">
        <f t="shared" si="7"/>
        <v>0</v>
      </c>
      <c r="N61" s="111">
        <f t="shared" si="8"/>
        <v>0</v>
      </c>
      <c r="O61" s="27">
        <f t="shared" si="9"/>
        <v>0</v>
      </c>
      <c r="P61" s="98"/>
      <c r="Q61" s="98"/>
    </row>
    <row r="62" spans="1:17" ht="15.6" x14ac:dyDescent="0.3">
      <c r="A62" s="132">
        <f t="shared" si="10"/>
        <v>186</v>
      </c>
      <c r="B62" s="189">
        <v>280457</v>
      </c>
      <c r="C62" s="212" t="s">
        <v>194</v>
      </c>
      <c r="D62" s="211">
        <v>185</v>
      </c>
      <c r="E62" s="211" t="s">
        <v>109</v>
      </c>
      <c r="F62" s="250">
        <f>D62*36*100</f>
        <v>666000</v>
      </c>
      <c r="G62" s="250" t="s">
        <v>217</v>
      </c>
      <c r="H62" s="131"/>
      <c r="I62" s="8"/>
      <c r="J62" s="83"/>
      <c r="K62" s="112">
        <v>0</v>
      </c>
      <c r="L62" s="7">
        <v>0</v>
      </c>
      <c r="M62" s="111">
        <f t="shared" si="7"/>
        <v>0</v>
      </c>
      <c r="N62" s="111">
        <f t="shared" si="8"/>
        <v>0</v>
      </c>
      <c r="O62" s="27">
        <f t="shared" si="9"/>
        <v>0</v>
      </c>
      <c r="P62" s="98"/>
      <c r="Q62" s="98"/>
    </row>
    <row r="63" spans="1:17" ht="15.6" x14ac:dyDescent="0.3">
      <c r="A63" s="132">
        <f t="shared" si="10"/>
        <v>187</v>
      </c>
      <c r="B63" s="165">
        <v>242287</v>
      </c>
      <c r="C63" s="216" t="s">
        <v>197</v>
      </c>
      <c r="D63" s="152">
        <v>5</v>
      </c>
      <c r="E63" s="152" t="s">
        <v>115</v>
      </c>
      <c r="F63" s="249">
        <f>8*8*5*25</f>
        <v>8000</v>
      </c>
      <c r="G63" s="249" t="s">
        <v>217</v>
      </c>
      <c r="H63" s="131"/>
      <c r="I63" s="8"/>
      <c r="J63" s="83"/>
      <c r="K63" s="112">
        <v>0</v>
      </c>
      <c r="L63" s="7">
        <v>0</v>
      </c>
      <c r="M63" s="111">
        <f t="shared" si="7"/>
        <v>0</v>
      </c>
      <c r="N63" s="111">
        <f t="shared" si="8"/>
        <v>0</v>
      </c>
      <c r="O63" s="27">
        <f t="shared" si="9"/>
        <v>0</v>
      </c>
      <c r="P63" s="8"/>
      <c r="Q63" s="98"/>
    </row>
    <row r="64" spans="1:17" ht="15.6" x14ac:dyDescent="0.3">
      <c r="A64" s="132">
        <f t="shared" si="10"/>
        <v>188</v>
      </c>
      <c r="B64" s="165">
        <v>69283</v>
      </c>
      <c r="C64" s="216" t="s">
        <v>182</v>
      </c>
      <c r="D64" s="152">
        <v>10</v>
      </c>
      <c r="E64" s="152" t="s">
        <v>109</v>
      </c>
      <c r="F64" s="249">
        <f>D64*12*200</f>
        <v>24000</v>
      </c>
      <c r="G64" s="249" t="s">
        <v>217</v>
      </c>
      <c r="H64" s="131"/>
      <c r="I64" s="8"/>
      <c r="J64" s="83"/>
      <c r="K64" s="112">
        <v>0</v>
      </c>
      <c r="L64" s="7">
        <v>0</v>
      </c>
      <c r="M64" s="111">
        <f t="shared" si="7"/>
        <v>0</v>
      </c>
      <c r="N64" s="111">
        <f t="shared" si="8"/>
        <v>0</v>
      </c>
      <c r="O64" s="27">
        <f t="shared" si="9"/>
        <v>0</v>
      </c>
      <c r="P64" s="98"/>
      <c r="Q64" s="98"/>
    </row>
    <row r="65" spans="1:17" ht="15.6" x14ac:dyDescent="0.3">
      <c r="A65" s="132">
        <f t="shared" si="10"/>
        <v>189</v>
      </c>
      <c r="B65" s="189">
        <v>280455</v>
      </c>
      <c r="C65" s="212" t="s">
        <v>185</v>
      </c>
      <c r="D65" s="152">
        <v>17</v>
      </c>
      <c r="E65" s="152" t="s">
        <v>109</v>
      </c>
      <c r="F65" s="250">
        <f>D65*12*160</f>
        <v>32640</v>
      </c>
      <c r="G65" s="249" t="s">
        <v>217</v>
      </c>
      <c r="H65" s="131"/>
      <c r="I65" s="8"/>
      <c r="J65" s="83"/>
      <c r="K65" s="112">
        <v>0</v>
      </c>
      <c r="L65" s="7">
        <v>0</v>
      </c>
      <c r="M65" s="111">
        <f t="shared" si="7"/>
        <v>0</v>
      </c>
      <c r="N65" s="111">
        <f t="shared" si="8"/>
        <v>0</v>
      </c>
      <c r="O65" s="27">
        <f t="shared" si="9"/>
        <v>0</v>
      </c>
      <c r="P65" s="98"/>
      <c r="Q65" s="98"/>
    </row>
    <row r="66" spans="1:17" ht="15.6" x14ac:dyDescent="0.3">
      <c r="A66" s="132">
        <f t="shared" si="10"/>
        <v>190</v>
      </c>
      <c r="B66" s="189">
        <v>280458</v>
      </c>
      <c r="C66" s="216" t="s">
        <v>273</v>
      </c>
      <c r="D66" s="211">
        <f>432+72</f>
        <v>504</v>
      </c>
      <c r="E66" s="211" t="s">
        <v>274</v>
      </c>
      <c r="F66" s="250">
        <f>D66*85</f>
        <v>42840</v>
      </c>
      <c r="G66" s="250" t="s">
        <v>217</v>
      </c>
      <c r="H66" s="131"/>
      <c r="I66" s="8"/>
      <c r="J66" s="83"/>
      <c r="K66" s="112">
        <v>0</v>
      </c>
      <c r="L66" s="7">
        <v>0</v>
      </c>
      <c r="M66" s="111">
        <f t="shared" ref="M66:M97" si="11">K66+K66*L66</f>
        <v>0</v>
      </c>
      <c r="N66" s="111">
        <f t="shared" ref="N66:N97" si="12">J66*M66</f>
        <v>0</v>
      </c>
      <c r="O66" s="27">
        <f t="shared" ref="O66:O79" si="13">M66*F66</f>
        <v>0</v>
      </c>
      <c r="P66" s="98"/>
      <c r="Q66" s="98"/>
    </row>
    <row r="67" spans="1:17" ht="15.6" x14ac:dyDescent="0.3">
      <c r="A67" s="132">
        <f t="shared" si="10"/>
        <v>191</v>
      </c>
      <c r="B67" s="165">
        <v>274580</v>
      </c>
      <c r="C67" s="216" t="s">
        <v>184</v>
      </c>
      <c r="D67" s="343">
        <v>3</v>
      </c>
      <c r="E67" s="343" t="s">
        <v>114</v>
      </c>
      <c r="F67" s="250">
        <f>D67*105*6*50</f>
        <v>94500</v>
      </c>
      <c r="G67" s="249" t="s">
        <v>217</v>
      </c>
      <c r="H67" s="131"/>
      <c r="I67" s="8"/>
      <c r="J67" s="83"/>
      <c r="K67" s="112">
        <v>0</v>
      </c>
      <c r="L67" s="7">
        <v>0</v>
      </c>
      <c r="M67" s="111">
        <f t="shared" si="11"/>
        <v>0</v>
      </c>
      <c r="N67" s="111">
        <f t="shared" si="12"/>
        <v>0</v>
      </c>
      <c r="O67" s="27">
        <f t="shared" si="13"/>
        <v>0</v>
      </c>
      <c r="P67" s="98"/>
      <c r="Q67" s="98"/>
    </row>
    <row r="68" spans="1:17" ht="15.6" x14ac:dyDescent="0.3">
      <c r="A68" s="132">
        <f t="shared" si="10"/>
        <v>192</v>
      </c>
      <c r="B68" s="189">
        <v>274580</v>
      </c>
      <c r="C68" s="212" t="s">
        <v>183</v>
      </c>
      <c r="D68" s="152">
        <v>100</v>
      </c>
      <c r="E68" s="152" t="s">
        <v>115</v>
      </c>
      <c r="F68" s="250">
        <f>D68*76*50</f>
        <v>380000</v>
      </c>
      <c r="G68" s="249" t="s">
        <v>217</v>
      </c>
      <c r="H68" s="131"/>
      <c r="I68" s="8"/>
      <c r="J68" s="83"/>
      <c r="K68" s="112">
        <v>0</v>
      </c>
      <c r="L68" s="7">
        <v>0</v>
      </c>
      <c r="M68" s="111">
        <f t="shared" si="11"/>
        <v>0</v>
      </c>
      <c r="N68" s="111">
        <f t="shared" si="12"/>
        <v>0</v>
      </c>
      <c r="O68" s="27">
        <f t="shared" si="13"/>
        <v>0</v>
      </c>
      <c r="P68" s="98"/>
      <c r="Q68" s="98"/>
    </row>
    <row r="69" spans="1:17" ht="15.6" x14ac:dyDescent="0.3">
      <c r="A69" s="132">
        <f t="shared" si="10"/>
        <v>193</v>
      </c>
      <c r="B69" s="166">
        <v>243301</v>
      </c>
      <c r="C69" s="216" t="s">
        <v>366</v>
      </c>
      <c r="D69" s="211">
        <v>2</v>
      </c>
      <c r="E69" s="211" t="s">
        <v>109</v>
      </c>
      <c r="F69" s="250">
        <f>D69*27*90</f>
        <v>4860</v>
      </c>
      <c r="G69" s="250" t="s">
        <v>217</v>
      </c>
      <c r="H69" s="121"/>
      <c r="I69" s="98"/>
      <c r="J69" s="157"/>
      <c r="K69" s="112">
        <v>0</v>
      </c>
      <c r="L69" s="7">
        <v>0</v>
      </c>
      <c r="M69" s="111">
        <f t="shared" si="11"/>
        <v>0</v>
      </c>
      <c r="N69" s="111">
        <f t="shared" si="12"/>
        <v>0</v>
      </c>
      <c r="O69" s="27">
        <f t="shared" si="13"/>
        <v>0</v>
      </c>
      <c r="P69" s="98"/>
      <c r="Q69" s="98"/>
    </row>
    <row r="70" spans="1:17" s="46" customFormat="1" ht="15.6" x14ac:dyDescent="0.3">
      <c r="A70" s="132">
        <f t="shared" si="10"/>
        <v>194</v>
      </c>
      <c r="B70" s="189">
        <v>38141</v>
      </c>
      <c r="C70" s="160" t="s">
        <v>186</v>
      </c>
      <c r="D70" s="152">
        <v>13</v>
      </c>
      <c r="E70" s="152" t="s">
        <v>109</v>
      </c>
      <c r="F70" s="250">
        <f>D70*12*240</f>
        <v>37440</v>
      </c>
      <c r="G70" s="250" t="s">
        <v>217</v>
      </c>
      <c r="H70" s="131"/>
      <c r="I70" s="8"/>
      <c r="J70" s="83"/>
      <c r="K70" s="112">
        <v>0</v>
      </c>
      <c r="L70" s="7">
        <v>0</v>
      </c>
      <c r="M70" s="111">
        <f t="shared" si="11"/>
        <v>0</v>
      </c>
      <c r="N70" s="111">
        <f t="shared" si="12"/>
        <v>0</v>
      </c>
      <c r="O70" s="27">
        <f t="shared" si="13"/>
        <v>0</v>
      </c>
      <c r="P70" s="98"/>
      <c r="Q70" s="98"/>
    </row>
    <row r="71" spans="1:17" ht="15.6" x14ac:dyDescent="0.3">
      <c r="A71" s="132">
        <f t="shared" si="10"/>
        <v>195</v>
      </c>
      <c r="B71" s="165">
        <v>280469</v>
      </c>
      <c r="C71" s="190" t="s">
        <v>180</v>
      </c>
      <c r="D71" s="152">
        <v>15</v>
      </c>
      <c r="E71" s="152" t="s">
        <v>109</v>
      </c>
      <c r="F71" s="249">
        <f>15*12*60</f>
        <v>10800</v>
      </c>
      <c r="G71" s="249" t="s">
        <v>217</v>
      </c>
      <c r="H71" s="8"/>
      <c r="I71" s="8"/>
      <c r="J71" s="83"/>
      <c r="K71" s="112">
        <v>0</v>
      </c>
      <c r="L71" s="7">
        <v>0</v>
      </c>
      <c r="M71" s="111">
        <f t="shared" si="11"/>
        <v>0</v>
      </c>
      <c r="N71" s="111">
        <f t="shared" si="12"/>
        <v>0</v>
      </c>
      <c r="O71" s="27">
        <f t="shared" si="13"/>
        <v>0</v>
      </c>
      <c r="P71" s="8"/>
      <c r="Q71" s="98"/>
    </row>
    <row r="72" spans="1:17" ht="15.6" x14ac:dyDescent="0.3">
      <c r="A72" s="132">
        <f t="shared" si="10"/>
        <v>196</v>
      </c>
      <c r="B72" s="165">
        <v>403786</v>
      </c>
      <c r="C72" s="190" t="s">
        <v>187</v>
      </c>
      <c r="D72" s="152">
        <v>10</v>
      </c>
      <c r="E72" s="152" t="s">
        <v>109</v>
      </c>
      <c r="F72" s="250">
        <f>D72*6*170</f>
        <v>10200</v>
      </c>
      <c r="G72" s="250" t="s">
        <v>217</v>
      </c>
      <c r="H72" s="8"/>
      <c r="I72" s="8"/>
      <c r="J72" s="83"/>
      <c r="K72" s="112">
        <v>0</v>
      </c>
      <c r="L72" s="7">
        <v>0</v>
      </c>
      <c r="M72" s="111">
        <f t="shared" si="11"/>
        <v>0</v>
      </c>
      <c r="N72" s="111">
        <f t="shared" si="12"/>
        <v>0</v>
      </c>
      <c r="O72" s="27">
        <f t="shared" si="13"/>
        <v>0</v>
      </c>
      <c r="P72" s="98"/>
      <c r="Q72" s="98"/>
    </row>
    <row r="73" spans="1:17" ht="15.6" x14ac:dyDescent="0.3">
      <c r="A73" s="132">
        <f t="shared" si="10"/>
        <v>197</v>
      </c>
      <c r="B73" s="189">
        <v>403785</v>
      </c>
      <c r="C73" s="190" t="s">
        <v>282</v>
      </c>
      <c r="D73" s="343">
        <v>2</v>
      </c>
      <c r="E73" s="343" t="s">
        <v>114</v>
      </c>
      <c r="F73" s="249">
        <f>D73*120*140</f>
        <v>33600</v>
      </c>
      <c r="G73" s="250" t="s">
        <v>217</v>
      </c>
      <c r="H73" s="8"/>
      <c r="I73" s="8"/>
      <c r="J73" s="83"/>
      <c r="K73" s="112">
        <v>0</v>
      </c>
      <c r="L73" s="7">
        <v>0</v>
      </c>
      <c r="M73" s="111">
        <f t="shared" si="11"/>
        <v>0</v>
      </c>
      <c r="N73" s="111">
        <f t="shared" si="12"/>
        <v>0</v>
      </c>
      <c r="O73" s="27">
        <f t="shared" si="13"/>
        <v>0</v>
      </c>
      <c r="P73" s="8"/>
      <c r="Q73" s="98"/>
    </row>
    <row r="74" spans="1:17" s="46" customFormat="1" ht="15.6" x14ac:dyDescent="0.3">
      <c r="A74" s="132">
        <f t="shared" si="10"/>
        <v>198</v>
      </c>
      <c r="B74" s="189">
        <v>403785</v>
      </c>
      <c r="C74" s="160" t="s">
        <v>178</v>
      </c>
      <c r="D74" s="152">
        <f>261+251</f>
        <v>512</v>
      </c>
      <c r="E74" s="152" t="s">
        <v>109</v>
      </c>
      <c r="F74" s="249">
        <f>510*6*140</f>
        <v>428400</v>
      </c>
      <c r="G74" s="249" t="s">
        <v>217</v>
      </c>
      <c r="H74" s="8"/>
      <c r="I74" s="8"/>
      <c r="J74" s="83"/>
      <c r="K74" s="112">
        <v>0</v>
      </c>
      <c r="L74" s="7">
        <v>0</v>
      </c>
      <c r="M74" s="111">
        <f t="shared" si="11"/>
        <v>0</v>
      </c>
      <c r="N74" s="111">
        <f t="shared" si="12"/>
        <v>0</v>
      </c>
      <c r="O74" s="27">
        <f t="shared" si="13"/>
        <v>0</v>
      </c>
      <c r="P74" s="8"/>
      <c r="Q74" s="98"/>
    </row>
    <row r="75" spans="1:17" ht="15.6" x14ac:dyDescent="0.3">
      <c r="A75" s="132">
        <f t="shared" si="10"/>
        <v>199</v>
      </c>
      <c r="B75" s="189">
        <v>65319</v>
      </c>
      <c r="C75" s="287" t="s">
        <v>193</v>
      </c>
      <c r="D75" s="211">
        <v>13</v>
      </c>
      <c r="E75" s="211" t="s">
        <v>109</v>
      </c>
      <c r="F75" s="250">
        <f>D75*6*275</f>
        <v>21450</v>
      </c>
      <c r="G75" s="250" t="s">
        <v>217</v>
      </c>
      <c r="H75" s="8"/>
      <c r="I75" s="8"/>
      <c r="J75" s="83"/>
      <c r="K75" s="112">
        <v>0</v>
      </c>
      <c r="L75" s="7">
        <v>0</v>
      </c>
      <c r="M75" s="111">
        <f t="shared" si="11"/>
        <v>0</v>
      </c>
      <c r="N75" s="111">
        <f t="shared" si="12"/>
        <v>0</v>
      </c>
      <c r="O75" s="27">
        <f t="shared" si="13"/>
        <v>0</v>
      </c>
      <c r="P75" s="98"/>
      <c r="Q75" s="98"/>
    </row>
    <row r="76" spans="1:17" ht="15.6" x14ac:dyDescent="0.3">
      <c r="A76" s="132">
        <f t="shared" si="10"/>
        <v>200</v>
      </c>
      <c r="B76" s="165">
        <v>38857</v>
      </c>
      <c r="C76" s="190" t="s">
        <v>226</v>
      </c>
      <c r="D76" s="211">
        <v>2</v>
      </c>
      <c r="E76" s="211" t="s">
        <v>109</v>
      </c>
      <c r="F76" s="250">
        <f>D76*8*135</f>
        <v>2160</v>
      </c>
      <c r="G76" s="250" t="s">
        <v>222</v>
      </c>
      <c r="H76" s="8"/>
      <c r="I76" s="8"/>
      <c r="J76" s="83"/>
      <c r="K76" s="112">
        <v>0</v>
      </c>
      <c r="L76" s="7">
        <v>0</v>
      </c>
      <c r="M76" s="111">
        <f t="shared" si="11"/>
        <v>0</v>
      </c>
      <c r="N76" s="111">
        <f t="shared" si="12"/>
        <v>0</v>
      </c>
      <c r="O76" s="27">
        <f t="shared" si="13"/>
        <v>0</v>
      </c>
      <c r="P76" s="98"/>
      <c r="Q76" s="98"/>
    </row>
    <row r="77" spans="1:17" ht="15.6" x14ac:dyDescent="0.3">
      <c r="A77" s="132">
        <f t="shared" si="10"/>
        <v>201</v>
      </c>
      <c r="B77" s="189">
        <v>40913</v>
      </c>
      <c r="C77" s="287" t="s">
        <v>177</v>
      </c>
      <c r="D77" s="152">
        <v>105</v>
      </c>
      <c r="E77" s="152" t="s">
        <v>109</v>
      </c>
      <c r="F77" s="249">
        <f>D77*6</f>
        <v>630</v>
      </c>
      <c r="G77" s="249" t="s">
        <v>112</v>
      </c>
      <c r="H77" s="342"/>
      <c r="I77" s="8"/>
      <c r="J77" s="83"/>
      <c r="K77" s="112">
        <v>0</v>
      </c>
      <c r="L77" s="7">
        <v>0</v>
      </c>
      <c r="M77" s="111">
        <f t="shared" si="11"/>
        <v>0</v>
      </c>
      <c r="N77" s="111">
        <f t="shared" si="12"/>
        <v>0</v>
      </c>
      <c r="O77" s="27">
        <f t="shared" si="13"/>
        <v>0</v>
      </c>
      <c r="P77" s="8"/>
      <c r="Q77" s="98"/>
    </row>
    <row r="78" spans="1:17" ht="15.6" x14ac:dyDescent="0.3">
      <c r="A78" s="132">
        <f t="shared" si="10"/>
        <v>202</v>
      </c>
      <c r="B78" s="165">
        <v>40067</v>
      </c>
      <c r="C78" s="190" t="s">
        <v>176</v>
      </c>
      <c r="D78" s="152">
        <v>21</v>
      </c>
      <c r="E78" s="152" t="s">
        <v>109</v>
      </c>
      <c r="F78" s="249">
        <f>21*6</f>
        <v>126</v>
      </c>
      <c r="G78" s="249" t="s">
        <v>112</v>
      </c>
      <c r="H78" s="8"/>
      <c r="I78" s="8"/>
      <c r="J78" s="83"/>
      <c r="K78" s="112">
        <v>0</v>
      </c>
      <c r="L78" s="7">
        <v>0</v>
      </c>
      <c r="M78" s="111">
        <f t="shared" si="11"/>
        <v>0</v>
      </c>
      <c r="N78" s="111">
        <f t="shared" si="12"/>
        <v>0</v>
      </c>
      <c r="O78" s="27">
        <f t="shared" si="13"/>
        <v>0</v>
      </c>
      <c r="P78" s="8"/>
      <c r="Q78" s="98"/>
    </row>
    <row r="79" spans="1:17" ht="15.6" x14ac:dyDescent="0.3">
      <c r="A79" s="132">
        <f t="shared" si="10"/>
        <v>203</v>
      </c>
      <c r="B79" s="189">
        <v>364016</v>
      </c>
      <c r="C79" s="287" t="s">
        <v>188</v>
      </c>
      <c r="D79" s="152">
        <v>16</v>
      </c>
      <c r="E79" s="152" t="s">
        <v>116</v>
      </c>
      <c r="F79" s="250">
        <f>D79*300</f>
        <v>4800</v>
      </c>
      <c r="G79" s="250" t="s">
        <v>218</v>
      </c>
      <c r="H79" s="8"/>
      <c r="I79" s="8"/>
      <c r="J79" s="83"/>
      <c r="K79" s="112">
        <v>0</v>
      </c>
      <c r="L79" s="7">
        <v>0</v>
      </c>
      <c r="M79" s="111">
        <f t="shared" si="11"/>
        <v>0</v>
      </c>
      <c r="N79" s="111">
        <f t="shared" si="12"/>
        <v>0</v>
      </c>
      <c r="O79" s="27">
        <f t="shared" si="13"/>
        <v>0</v>
      </c>
      <c r="P79" s="98"/>
      <c r="Q79" s="98"/>
    </row>
    <row r="80" spans="1:17" x14ac:dyDescent="0.3">
      <c r="A80" s="174"/>
      <c r="B80" s="174"/>
      <c r="C80" s="175"/>
      <c r="D80" s="176"/>
      <c r="E80" s="176"/>
      <c r="F80" s="176"/>
      <c r="G80" s="176"/>
      <c r="H80" s="175"/>
      <c r="I80" s="175"/>
      <c r="J80" s="177"/>
      <c r="K80" s="248">
        <f>SUM(K2:K79)</f>
        <v>0</v>
      </c>
      <c r="L80" s="175"/>
      <c r="M80" s="192">
        <f>SUM(M2:M79)</f>
        <v>0</v>
      </c>
      <c r="N80" s="192">
        <f>SUM(N2:N79)</f>
        <v>0</v>
      </c>
      <c r="O80" s="192">
        <f>SUM(O2:O79)</f>
        <v>0</v>
      </c>
      <c r="P80" s="175"/>
      <c r="Q80" s="175"/>
    </row>
    <row r="81" spans="12:13" ht="15.6" x14ac:dyDescent="0.3">
      <c r="L81" s="118" t="s">
        <v>79</v>
      </c>
      <c r="M81" s="35">
        <f>IF(K80=0,0,M80/K80-1)</f>
        <v>0</v>
      </c>
    </row>
  </sheetData>
  <sheetProtection algorithmName="SHA-512" hashValue="IqNpOBPIsQI57wU0l8CLMvNvr4Q4D0FA10QTl2uHHGlAiG7hLZSVo1s74HdtZJW+l275v2mZRuvJHojOieP/mA==" saltValue="ny4yn+o21lxwU70lUi5JRA==" spinCount="100000" sheet="1" objects="1" scenarios="1"/>
  <autoFilter ref="A1:H71" xr:uid="{00000000-0009-0000-0000-000006000000}"/>
  <sortState xmlns:xlrd2="http://schemas.microsoft.com/office/spreadsheetml/2017/richdata2" ref="A2:Q82">
    <sortCondition ref="C1:C82"/>
  </sortState>
  <conditionalFormatting sqref="C73:C1048576 C45:C71 C37:C43 C21:C31 C1:C18">
    <cfRule type="duplicateValues" dxfId="0" priority="28"/>
  </conditionalFormatting>
  <pageMargins left="0.7" right="0.7" top="0.75" bottom="0.75" header="0.3" footer="0.3"/>
  <pageSetup paperSize="9" scale="3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24"/>
  <dimension ref="A1:AN26"/>
  <sheetViews>
    <sheetView topLeftCell="A12" workbookViewId="0">
      <selection activeCell="C19" sqref="C19"/>
    </sheetView>
  </sheetViews>
  <sheetFormatPr baseColWidth="10" defaultColWidth="11.44140625" defaultRowHeight="15.6" x14ac:dyDescent="0.3"/>
  <cols>
    <col min="1" max="1" width="15.109375" style="54" customWidth="1"/>
    <col min="2" max="2" width="21.88671875" style="53" customWidth="1"/>
    <col min="3" max="3" width="106.88671875" style="51" customWidth="1"/>
    <col min="4" max="6" width="11.44140625" style="52"/>
    <col min="7" max="7" width="90" style="52" customWidth="1"/>
    <col min="8" max="16384" width="11.44140625" style="52"/>
  </cols>
  <sheetData>
    <row r="1" spans="1:40" s="50" customFormat="1" ht="69" customHeight="1" thickBot="1" x14ac:dyDescent="0.35">
      <c r="A1" s="347" t="s">
        <v>8</v>
      </c>
      <c r="B1" s="347"/>
      <c r="C1" s="347"/>
    </row>
    <row r="2" spans="1:40" s="50" customFormat="1" ht="47.4" thickBot="1" x14ac:dyDescent="0.35">
      <c r="A2" s="89"/>
      <c r="B2" s="90"/>
      <c r="C2" s="90" t="s">
        <v>369</v>
      </c>
    </row>
    <row r="3" spans="1:40" s="50" customFormat="1" ht="16.2" thickBot="1" x14ac:dyDescent="0.35">
      <c r="A3" s="348" t="s">
        <v>9</v>
      </c>
      <c r="B3" s="348"/>
      <c r="C3" s="90" t="s">
        <v>254</v>
      </c>
    </row>
    <row r="4" spans="1:40" ht="47.4" thickBot="1" x14ac:dyDescent="0.35">
      <c r="A4" s="349" t="s">
        <v>40</v>
      </c>
      <c r="B4" s="349"/>
      <c r="C4" s="90" t="s">
        <v>370</v>
      </c>
    </row>
    <row r="5" spans="1:40" ht="31.5" customHeight="1" thickBot="1" x14ac:dyDescent="0.35">
      <c r="A5" s="348" t="s">
        <v>42</v>
      </c>
      <c r="B5" s="348"/>
      <c r="C5" s="90"/>
    </row>
    <row r="6" spans="1:40" ht="16.2" thickBot="1" x14ac:dyDescent="0.35">
      <c r="A6" s="91" t="s">
        <v>13</v>
      </c>
      <c r="B6" s="90" t="s">
        <v>14</v>
      </c>
      <c r="C6" s="90" t="s">
        <v>80</v>
      </c>
    </row>
    <row r="7" spans="1:40" ht="63" thickBot="1" x14ac:dyDescent="0.35">
      <c r="A7" s="91" t="s">
        <v>15</v>
      </c>
      <c r="B7" s="90" t="s">
        <v>48</v>
      </c>
      <c r="C7" s="90" t="s">
        <v>149</v>
      </c>
    </row>
    <row r="8" spans="1:40" ht="31.8" thickBot="1" x14ac:dyDescent="0.35">
      <c r="A8" s="91"/>
      <c r="B8" s="90" t="s">
        <v>10</v>
      </c>
      <c r="C8" s="90" t="s">
        <v>41</v>
      </c>
    </row>
    <row r="9" spans="1:40" s="142" customFormat="1" ht="63" thickBot="1" x14ac:dyDescent="0.35">
      <c r="A9" s="140"/>
      <c r="B9" s="141" t="s">
        <v>88</v>
      </c>
      <c r="C9" s="141" t="s">
        <v>253</v>
      </c>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row>
    <row r="10" spans="1:40" ht="84.9" customHeight="1" thickBot="1" x14ac:dyDescent="0.35">
      <c r="A10" s="91" t="s">
        <v>16</v>
      </c>
      <c r="B10" s="90" t="s">
        <v>4</v>
      </c>
      <c r="C10" s="90" t="s">
        <v>261</v>
      </c>
    </row>
    <row r="11" spans="1:40" ht="31.8" thickBot="1" x14ac:dyDescent="0.35">
      <c r="A11" s="91" t="s">
        <v>17</v>
      </c>
      <c r="B11" s="90" t="s">
        <v>44</v>
      </c>
      <c r="C11" s="90" t="s">
        <v>266</v>
      </c>
    </row>
    <row r="12" spans="1:40" ht="31.8" thickBot="1" x14ac:dyDescent="0.35">
      <c r="A12" s="91" t="s">
        <v>18</v>
      </c>
      <c r="B12" s="90" t="s">
        <v>255</v>
      </c>
      <c r="C12" s="90" t="s">
        <v>260</v>
      </c>
    </row>
    <row r="13" spans="1:40" ht="63" thickBot="1" x14ac:dyDescent="0.35">
      <c r="A13" s="91" t="s">
        <v>19</v>
      </c>
      <c r="B13" s="90" t="s">
        <v>259</v>
      </c>
      <c r="C13" s="90" t="s">
        <v>269</v>
      </c>
    </row>
    <row r="14" spans="1:40" ht="31.8" thickBot="1" x14ac:dyDescent="0.35">
      <c r="A14" s="91" t="s">
        <v>20</v>
      </c>
      <c r="B14" s="90" t="s">
        <v>58</v>
      </c>
      <c r="C14" s="90" t="s">
        <v>169</v>
      </c>
    </row>
    <row r="15" spans="1:40" ht="47.4" thickBot="1" x14ac:dyDescent="0.35">
      <c r="A15" s="91" t="s">
        <v>256</v>
      </c>
      <c r="B15" s="90" t="s">
        <v>62</v>
      </c>
      <c r="C15" s="90" t="s">
        <v>26</v>
      </c>
    </row>
    <row r="16" spans="1:40" ht="63" thickBot="1" x14ac:dyDescent="0.35">
      <c r="A16" s="91" t="s">
        <v>22</v>
      </c>
      <c r="B16" s="90" t="s">
        <v>21</v>
      </c>
      <c r="C16" s="90" t="s">
        <v>267</v>
      </c>
    </row>
    <row r="17" spans="1:3" ht="47.4" thickBot="1" x14ac:dyDescent="0.35">
      <c r="A17" s="91" t="s">
        <v>23</v>
      </c>
      <c r="B17" s="90" t="s">
        <v>264</v>
      </c>
      <c r="C17" s="90" t="s">
        <v>265</v>
      </c>
    </row>
    <row r="18" spans="1:3" ht="63" thickBot="1" x14ac:dyDescent="0.35">
      <c r="A18" s="91" t="s">
        <v>24</v>
      </c>
      <c r="B18" s="90" t="s">
        <v>268</v>
      </c>
      <c r="C18" s="90" t="s">
        <v>81</v>
      </c>
    </row>
    <row r="19" spans="1:3" ht="31.8" thickBot="1" x14ac:dyDescent="0.35">
      <c r="A19" s="91" t="s">
        <v>1</v>
      </c>
      <c r="B19" s="90" t="s">
        <v>2</v>
      </c>
      <c r="C19" s="90" t="s">
        <v>263</v>
      </c>
    </row>
    <row r="20" spans="1:3" ht="31.8" thickBot="1" x14ac:dyDescent="0.35">
      <c r="A20" s="91" t="s">
        <v>91</v>
      </c>
      <c r="B20" s="90" t="s">
        <v>46</v>
      </c>
      <c r="C20" s="90" t="s">
        <v>47</v>
      </c>
    </row>
    <row r="21" spans="1:3" ht="31.8" thickBot="1" x14ac:dyDescent="0.35">
      <c r="A21" s="91" t="s">
        <v>93</v>
      </c>
      <c r="B21" s="90" t="s">
        <v>262</v>
      </c>
      <c r="C21" s="90" t="s">
        <v>271</v>
      </c>
    </row>
    <row r="22" spans="1:3" ht="16.2" thickBot="1" x14ac:dyDescent="0.35">
      <c r="A22" s="91" t="s">
        <v>257</v>
      </c>
      <c r="B22" s="139" t="s">
        <v>89</v>
      </c>
      <c r="C22" s="90" t="s">
        <v>96</v>
      </c>
    </row>
    <row r="23" spans="1:3" ht="16.2" thickBot="1" x14ac:dyDescent="0.35">
      <c r="A23" s="91" t="s">
        <v>258</v>
      </c>
      <c r="B23" s="139" t="s">
        <v>94</v>
      </c>
      <c r="C23" s="90" t="s">
        <v>95</v>
      </c>
    </row>
    <row r="24" spans="1:3" ht="16.2" thickBot="1" x14ac:dyDescent="0.35">
      <c r="A24" s="90"/>
      <c r="B24" s="90"/>
      <c r="C24" s="90"/>
    </row>
    <row r="25" spans="1:3" ht="16.2" thickBot="1" x14ac:dyDescent="0.35">
      <c r="A25" s="258"/>
      <c r="B25" s="258"/>
      <c r="C25" s="258"/>
    </row>
    <row r="26" spans="1:3" ht="16.2" thickBot="1" x14ac:dyDescent="0.35">
      <c r="C26" s="258"/>
    </row>
  </sheetData>
  <sheetProtection algorithmName="SHA-512" hashValue="fBt6IfuieBwH4/9ouWH6xD36Jef5D8KlbUwqTbNCY9j0s5d6NcJnHMArRv1Kv2/pHgyENBqRkOZBTapST1DRFQ==" saltValue="fIEJTSouoaPAxDW0QeFmhA==" spinCount="100000" sheet="1" objects="1" scenarios="1"/>
  <mergeCells count="4">
    <mergeCell ref="A1:C1"/>
    <mergeCell ref="A3:B3"/>
    <mergeCell ref="A4:B4"/>
    <mergeCell ref="A5:B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25"/>
  <dimension ref="A1:S21"/>
  <sheetViews>
    <sheetView topLeftCell="A4" workbookViewId="0">
      <selection activeCell="C3" sqref="C3:H3"/>
    </sheetView>
  </sheetViews>
  <sheetFormatPr baseColWidth="10" defaultColWidth="11.44140625" defaultRowHeight="15.6" x14ac:dyDescent="0.3"/>
  <cols>
    <col min="1" max="1" width="3.44140625" style="11" customWidth="1"/>
    <col min="2" max="2" width="26.109375" style="12" customWidth="1"/>
    <col min="3" max="3" width="30.5546875" style="10" customWidth="1"/>
    <col min="4" max="4" width="30.5546875" style="51" customWidth="1"/>
    <col min="5" max="5" width="27.6640625" style="11" customWidth="1"/>
    <col min="6" max="6" width="15.44140625" style="11" customWidth="1"/>
    <col min="7" max="7" width="16" style="11" customWidth="1"/>
    <col min="8" max="8" width="27.33203125" style="11" customWidth="1"/>
    <col min="9" max="10" width="11.44140625" style="11"/>
    <col min="11" max="11" width="15.33203125" style="11" customWidth="1"/>
    <col min="12" max="12" width="11.44140625" style="11"/>
    <col min="13" max="13" width="26.44140625" style="11" customWidth="1"/>
    <col min="14" max="15" width="11.44140625" style="11"/>
    <col min="16" max="16" width="15.6640625" style="11" customWidth="1"/>
    <col min="17" max="16384" width="11.44140625" style="11"/>
  </cols>
  <sheetData>
    <row r="1" spans="1:19" s="9" customFormat="1" ht="60.75" customHeight="1" x14ac:dyDescent="0.3">
      <c r="B1" s="355" t="s">
        <v>34</v>
      </c>
      <c r="C1" s="355"/>
      <c r="D1" s="355"/>
      <c r="E1" s="355"/>
      <c r="F1" s="355"/>
      <c r="G1" s="355"/>
      <c r="H1" s="355"/>
      <c r="J1" s="37"/>
      <c r="K1" s="38"/>
      <c r="L1" s="38"/>
      <c r="M1" s="38"/>
      <c r="N1" s="38"/>
      <c r="O1" s="38"/>
      <c r="P1" s="38"/>
      <c r="Q1" s="38"/>
      <c r="S1" s="28">
        <v>1</v>
      </c>
    </row>
    <row r="2" spans="1:19" s="9" customFormat="1" ht="62.25" customHeight="1" x14ac:dyDescent="0.3">
      <c r="A2" s="259"/>
      <c r="B2" s="260" t="s">
        <v>38</v>
      </c>
      <c r="C2" s="356" t="s">
        <v>371</v>
      </c>
      <c r="D2" s="356"/>
      <c r="E2" s="356"/>
      <c r="F2" s="356"/>
      <c r="G2" s="356"/>
      <c r="H2" s="356"/>
      <c r="K2" s="4"/>
    </row>
    <row r="3" spans="1:19" s="9" customFormat="1" ht="99.9" customHeight="1" x14ac:dyDescent="0.3">
      <c r="A3" s="259"/>
      <c r="B3" s="261" t="s">
        <v>74</v>
      </c>
      <c r="C3" s="352" t="s">
        <v>270</v>
      </c>
      <c r="D3" s="352"/>
      <c r="E3" s="352"/>
      <c r="F3" s="352"/>
      <c r="G3" s="352"/>
      <c r="H3" s="352"/>
    </row>
    <row r="4" spans="1:19" s="9" customFormat="1" ht="52.5" customHeight="1" x14ac:dyDescent="0.3">
      <c r="A4" s="259"/>
      <c r="B4" s="260" t="s">
        <v>27</v>
      </c>
      <c r="C4" s="354" t="s">
        <v>103</v>
      </c>
      <c r="D4" s="354"/>
      <c r="E4" s="354"/>
      <c r="F4" s="354"/>
      <c r="G4" s="354"/>
      <c r="H4" s="354"/>
      <c r="K4" s="4"/>
    </row>
    <row r="5" spans="1:19" ht="47.25" customHeight="1" x14ac:dyDescent="0.3">
      <c r="A5" s="262"/>
      <c r="B5" s="260" t="s">
        <v>76</v>
      </c>
      <c r="C5" s="356" t="s">
        <v>77</v>
      </c>
      <c r="D5" s="356"/>
      <c r="E5" s="356"/>
      <c r="F5" s="356"/>
      <c r="G5" s="356"/>
      <c r="H5" s="356"/>
      <c r="K5" s="11" t="s">
        <v>37</v>
      </c>
    </row>
    <row r="6" spans="1:19" ht="31.5" customHeight="1" x14ac:dyDescent="0.3">
      <c r="A6" s="262"/>
      <c r="B6" s="263" t="s">
        <v>33</v>
      </c>
      <c r="C6" s="352" t="s">
        <v>75</v>
      </c>
      <c r="D6" s="352"/>
      <c r="E6" s="352"/>
      <c r="F6" s="352"/>
      <c r="G6" s="352"/>
      <c r="H6" s="352"/>
    </row>
    <row r="7" spans="1:19" x14ac:dyDescent="0.3">
      <c r="B7" s="264"/>
      <c r="C7" s="265"/>
      <c r="D7" s="265"/>
      <c r="E7" s="266"/>
      <c r="F7" s="267"/>
      <c r="G7" s="267"/>
      <c r="H7" s="267"/>
    </row>
    <row r="8" spans="1:19" x14ac:dyDescent="0.3">
      <c r="B8" s="268"/>
      <c r="C8" s="350" t="s">
        <v>32</v>
      </c>
      <c r="D8" s="350"/>
      <c r="E8" s="350"/>
      <c r="F8" s="350"/>
      <c r="G8" s="350"/>
      <c r="H8" s="351"/>
    </row>
    <row r="9" spans="1:19" x14ac:dyDescent="0.3">
      <c r="B9" s="269" t="s">
        <v>39</v>
      </c>
      <c r="C9" s="270" t="s">
        <v>98</v>
      </c>
      <c r="D9" s="270" t="s">
        <v>99</v>
      </c>
      <c r="E9" s="271" t="s">
        <v>100</v>
      </c>
      <c r="F9" s="270" t="s">
        <v>101</v>
      </c>
      <c r="G9" s="268" t="s">
        <v>102</v>
      </c>
      <c r="H9" s="272"/>
    </row>
    <row r="10" spans="1:19" x14ac:dyDescent="0.3">
      <c r="B10" s="273" t="s">
        <v>28</v>
      </c>
      <c r="C10" s="274">
        <v>10</v>
      </c>
      <c r="D10" s="274">
        <v>7</v>
      </c>
      <c r="E10" s="270">
        <v>6</v>
      </c>
      <c r="F10" s="274">
        <v>10</v>
      </c>
      <c r="G10" s="283">
        <v>9</v>
      </c>
      <c r="H10" s="275"/>
    </row>
    <row r="11" spans="1:19" x14ac:dyDescent="0.3">
      <c r="B11" s="273" t="s">
        <v>29</v>
      </c>
      <c r="C11" s="274">
        <v>9</v>
      </c>
      <c r="D11" s="274">
        <v>8</v>
      </c>
      <c r="E11" s="270">
        <v>8</v>
      </c>
      <c r="F11" s="274">
        <v>8</v>
      </c>
      <c r="G11" s="283">
        <v>10</v>
      </c>
      <c r="H11" s="275"/>
    </row>
    <row r="12" spans="1:19" x14ac:dyDescent="0.3">
      <c r="B12" s="273" t="s">
        <v>30</v>
      </c>
      <c r="C12" s="274">
        <v>8</v>
      </c>
      <c r="D12" s="274">
        <v>9</v>
      </c>
      <c r="E12" s="270">
        <v>10</v>
      </c>
      <c r="F12" s="274">
        <v>8</v>
      </c>
      <c r="G12" s="283">
        <v>10</v>
      </c>
      <c r="H12" s="275"/>
    </row>
    <row r="13" spans="1:19" s="52" customFormat="1" ht="16.5" customHeight="1" x14ac:dyDescent="0.3">
      <c r="B13" s="276"/>
      <c r="C13" s="277">
        <f>(C10+C11+C12)/3</f>
        <v>9</v>
      </c>
      <c r="D13" s="277">
        <f t="shared" ref="D13:G13" si="0">(D10+D11+D12)/3</f>
        <v>8</v>
      </c>
      <c r="E13" s="277">
        <f t="shared" si="0"/>
        <v>8</v>
      </c>
      <c r="F13" s="277">
        <f t="shared" si="0"/>
        <v>8.6666666666666661</v>
      </c>
      <c r="G13" s="277">
        <f t="shared" si="0"/>
        <v>9.6666666666666661</v>
      </c>
      <c r="H13" s="275"/>
    </row>
    <row r="14" spans="1:19" x14ac:dyDescent="0.3">
      <c r="B14" s="278" t="s">
        <v>31</v>
      </c>
      <c r="C14" s="279"/>
      <c r="D14" s="279"/>
      <c r="E14" s="279"/>
      <c r="F14" s="279"/>
      <c r="G14" s="267"/>
      <c r="H14" s="275"/>
    </row>
    <row r="15" spans="1:19" x14ac:dyDescent="0.3">
      <c r="B15" s="280"/>
      <c r="C15" s="281"/>
      <c r="D15" s="281"/>
      <c r="E15" s="282"/>
      <c r="F15" s="282"/>
      <c r="G15" s="282"/>
      <c r="H15" s="275"/>
    </row>
    <row r="16" spans="1:19" s="39" customFormat="1" ht="48.75" customHeight="1" x14ac:dyDescent="0.3">
      <c r="B16" s="353" t="s">
        <v>97</v>
      </c>
      <c r="C16" s="353"/>
      <c r="D16" s="353"/>
      <c r="E16" s="353"/>
      <c r="F16" s="353"/>
      <c r="G16" s="353"/>
      <c r="H16" s="353"/>
    </row>
    <row r="17" spans="2:6" x14ac:dyDescent="0.3">
      <c r="B17" s="11"/>
      <c r="C17" s="11"/>
      <c r="D17" s="52"/>
    </row>
    <row r="18" spans="2:6" x14ac:dyDescent="0.3">
      <c r="B18" s="11"/>
      <c r="C18" s="11"/>
      <c r="D18" s="52"/>
    </row>
    <row r="19" spans="2:6" x14ac:dyDescent="0.3">
      <c r="B19" s="46"/>
      <c r="C19" s="36"/>
      <c r="D19" s="36"/>
      <c r="E19" s="30"/>
      <c r="F19" s="30"/>
    </row>
    <row r="20" spans="2:6" x14ac:dyDescent="0.3">
      <c r="B20" s="11"/>
      <c r="C20" s="113"/>
      <c r="D20" s="113"/>
      <c r="E20" s="114"/>
      <c r="F20" s="114"/>
    </row>
    <row r="21" spans="2:6" x14ac:dyDescent="0.3">
      <c r="C21" s="115"/>
      <c r="D21" s="115"/>
      <c r="E21" s="115"/>
      <c r="F21" s="115"/>
    </row>
  </sheetData>
  <sheetProtection algorithmName="SHA-512" hashValue="/WcoCS0IX+vSn95ChPYy0eFUvMN8dDXh9X1e3eMC6bQn14nSgTXzHydESghAMCvOpcEkxdKlj84R7YzrQXQXcQ==" saltValue="wCmr5VlQlpXtDFmXZyY7Vw==" spinCount="100000" sheet="1" objects="1" scenarios="1"/>
  <mergeCells count="8">
    <mergeCell ref="C8:H8"/>
    <mergeCell ref="C6:H6"/>
    <mergeCell ref="B16:H16"/>
    <mergeCell ref="C4:H4"/>
    <mergeCell ref="B1:H1"/>
    <mergeCell ref="C5:H5"/>
    <mergeCell ref="C2:H2"/>
    <mergeCell ref="C3:H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Navngitte områder</vt:lpstr>
      </vt:variant>
      <vt:variant>
        <vt:i4>1</vt:i4>
      </vt:variant>
    </vt:vector>
  </HeadingPairs>
  <TitlesOfParts>
    <vt:vector size="10" baseType="lpstr">
      <vt:lpstr>Hovedside</vt:lpstr>
      <vt:lpstr>Renholdsrekvisita</vt:lpstr>
      <vt:lpstr>Rengjøringsmaskiner</vt:lpstr>
      <vt:lpstr>Renholdsmidler</vt:lpstr>
      <vt:lpstr>Avfallshåndtering</vt:lpstr>
      <vt:lpstr>Matter og sklisikring</vt:lpstr>
      <vt:lpstr>tørk og hyggiene</vt:lpstr>
      <vt:lpstr>Forklaring</vt:lpstr>
      <vt:lpstr>Evaluering </vt:lpstr>
      <vt:lpstr>Hovedside!Utskriftsområde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Kristian</dc:creator>
  <cp:lastModifiedBy>Magne Haslevang</cp:lastModifiedBy>
  <cp:lastPrinted>2021-12-16T16:44:48Z</cp:lastPrinted>
  <dcterms:created xsi:type="dcterms:W3CDTF">2013-03-03T21:06:49Z</dcterms:created>
  <dcterms:modified xsi:type="dcterms:W3CDTF">2022-01-11T09:08:17Z</dcterms:modified>
</cp:coreProperties>
</file>